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esktop\accesibilidad\BOCM\"/>
    </mc:Choice>
  </mc:AlternateContent>
  <bookViews>
    <workbookView xWindow="-28920" yWindow="1770" windowWidth="29040" windowHeight="15840" tabRatio="808" firstSheet="1" activeTab="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E1887" i="22"/>
  <c r="E1885" i="22"/>
  <c r="E1884" i="22"/>
  <c r="E1883" i="22"/>
  <c r="E1882" i="22"/>
  <c r="D1888" i="22" l="1"/>
  <c r="E1888" i="22" s="1"/>
  <c r="D1892" i="22"/>
  <c r="E1892" i="22" s="1"/>
  <c r="D1896" i="22"/>
  <c r="E1896" i="22" s="1"/>
  <c r="D1900" i="22"/>
  <c r="E1900" i="22" s="1"/>
  <c r="D1904" i="22"/>
  <c r="E1904" i="22" s="1"/>
  <c r="D1908" i="22"/>
  <c r="E1908" i="22" s="1"/>
  <c r="D1912" i="22"/>
  <c r="E1912" i="22" s="1"/>
  <c r="E1886" i="22"/>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CG20" i="9" a="1"/>
  <c r="K1882" i="22"/>
  <c r="D304" i="15" l="1"/>
  <c r="CG20" i="9"/>
  <c r="DC3" i="19" s="1"/>
  <c r="D224" i="5"/>
  <c r="D228" i="5"/>
  <c r="D139" i="21"/>
  <c r="D1165" i="21"/>
  <c r="D238" i="5"/>
  <c r="D1253" i="22"/>
  <c r="D157" i="14"/>
  <c r="D34" i="13"/>
  <c r="D198" i="18"/>
  <c r="D108" i="13"/>
  <c r="D308" i="15"/>
  <c r="D1249" i="22"/>
  <c r="D51" i="13"/>
  <c r="D66"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CG27" i="9" a="1"/>
  <c r="CG27" i="9" s="1"/>
  <c r="DC10"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8" i="18"/>
  <c r="D32" i="18"/>
  <c r="D76" i="18"/>
  <c r="D127" i="18"/>
  <c r="T5" i="19"/>
  <c r="V5" i="19" s="1"/>
  <c r="T9" i="19"/>
  <c r="V9" i="19" s="1"/>
  <c r="CG42" i="9" a="1"/>
  <c r="CG42" i="9" s="1"/>
  <c r="DC25" i="19" s="1"/>
  <c r="T25" i="19"/>
  <c r="V25"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330"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674"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129" i="22"/>
  <c r="D1358" i="22"/>
  <c r="D1397" i="22"/>
  <c r="D1450" i="22"/>
  <c r="D1445" i="22"/>
  <c r="D28" i="21"/>
  <c r="D32" i="21"/>
  <c r="D585" i="21"/>
  <c r="D606" i="21"/>
  <c r="D618" i="21"/>
  <c r="D623" i="21"/>
  <c r="D722" i="21"/>
  <c r="D798" i="21"/>
  <c r="D918" i="21"/>
  <c r="D980" i="21"/>
  <c r="D1002" i="21"/>
  <c r="D1192" i="21"/>
  <c r="D1597" i="21"/>
  <c r="D1698" i="21"/>
  <c r="D196" i="5"/>
  <c r="D78" i="18"/>
  <c r="D83" i="18"/>
  <c r="D102" i="18"/>
  <c r="D1792" i="22"/>
  <c r="D1047" i="21"/>
  <c r="D1369" i="21"/>
  <c r="D1373" i="21"/>
  <c r="D1377" i="21"/>
  <c r="D1382" i="21"/>
  <c r="D1408" i="21"/>
  <c r="D1456" i="21"/>
  <c r="D28" i="5"/>
  <c r="D47" i="5"/>
  <c r="D67" i="5"/>
  <c r="D89" i="5"/>
  <c r="D104" i="5"/>
  <c r="D108" i="5"/>
  <c r="D112" i="5"/>
  <c r="D143" i="5"/>
  <c r="D147" i="5"/>
  <c r="D151" i="5"/>
  <c r="D65" i="18"/>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673" i="14"/>
  <c r="D29" i="15"/>
  <c r="D52" i="15"/>
  <c r="D68" i="15"/>
  <c r="D113" i="15"/>
  <c r="D114" i="15"/>
  <c r="D203" i="15"/>
  <c r="D204" i="15"/>
  <c r="D205" i="15"/>
  <c r="D231" i="15"/>
  <c r="D104" i="13"/>
  <c r="D151" i="14"/>
  <c r="D143" i="14"/>
  <c r="D234" i="14"/>
  <c r="D490" i="14"/>
  <c r="D679" i="14"/>
  <c r="D44" i="15"/>
  <c r="D26" i="13"/>
  <c r="D46" i="13"/>
  <c r="D74" i="13"/>
  <c r="D165" i="14"/>
  <c r="D243" i="14"/>
  <c r="D239" i="14"/>
  <c r="D235" i="14"/>
  <c r="D501" i="14"/>
  <c r="D497" i="14"/>
  <c r="D527" i="14"/>
  <c r="D686" i="14"/>
  <c r="D180" i="15"/>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56" i="15"/>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80" i="21"/>
  <c r="D1725" i="21"/>
  <c r="D39" i="5"/>
  <c r="D44" i="5"/>
  <c r="D85" i="5"/>
  <c r="D120" i="5"/>
  <c r="D180" i="5"/>
  <c r="D292" i="14"/>
  <c r="D456" i="14"/>
  <c r="D71" i="15"/>
  <c r="D109" i="22"/>
  <c r="D83" i="13"/>
  <c r="D91" i="13"/>
  <c r="D102"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8" i="13"/>
  <c r="D29" i="13"/>
  <c r="D42" i="13"/>
  <c r="D47" i="13"/>
  <c r="D50" i="13"/>
  <c r="D159" i="14"/>
  <c r="D141"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04" i="15"/>
  <c r="D115" i="15"/>
  <c r="D120" i="15"/>
  <c r="D166" i="15"/>
  <c r="D193" i="15"/>
  <c r="D225" i="15"/>
  <c r="D226" i="15"/>
  <c r="D227" i="15"/>
  <c r="D228" i="15"/>
  <c r="D229" i="15"/>
  <c r="D240" i="15"/>
  <c r="D259" i="15"/>
  <c r="D264" i="15"/>
  <c r="D292" i="15"/>
  <c r="D295" i="15"/>
  <c r="D314" i="15"/>
  <c r="D345" i="15"/>
  <c r="D349" i="15"/>
  <c r="D355" i="15"/>
  <c r="D471" i="22"/>
  <c r="D489" i="22"/>
  <c r="D585" i="22"/>
  <c r="D581" i="22"/>
  <c r="D577" i="22"/>
  <c r="D573" i="22"/>
  <c r="D569" i="22"/>
  <c r="D656" i="22"/>
  <c r="D655" i="22"/>
  <c r="D647" i="22"/>
  <c r="D710"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11" i="21"/>
  <c r="D1015" i="21"/>
  <c r="D1019" i="21"/>
  <c r="D1023" i="21"/>
  <c r="D1027" i="21"/>
  <c r="D1031" i="21"/>
  <c r="D1035" i="21"/>
  <c r="D1039" i="21"/>
  <c r="D1054" i="21"/>
  <c r="D1055" i="21"/>
  <c r="D1130" i="21"/>
  <c r="D1135" i="21"/>
  <c r="D1168" i="21"/>
  <c r="D1172"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26" i="5"/>
  <c r="D73" i="5"/>
  <c r="D79" i="5"/>
  <c r="D80" i="5"/>
  <c r="D88" i="5"/>
  <c r="D140"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78" i="18"/>
  <c r="D182" i="18"/>
  <c r="D186" i="18"/>
  <c r="D190" i="18"/>
  <c r="D194" i="18"/>
  <c r="D1517" i="21"/>
  <c r="D1524" i="21"/>
  <c r="D1525" i="21"/>
  <c r="D1533" i="21"/>
  <c r="D1541" i="21"/>
  <c r="D1545" i="21"/>
  <c r="D1549" i="21"/>
  <c r="D1553" i="21"/>
  <c r="D1559" i="21"/>
  <c r="D1589" i="21"/>
  <c r="D1596" i="21"/>
  <c r="D1624" i="21"/>
  <c r="D1630" i="21"/>
  <c r="D1631" i="21"/>
  <c r="D1632" i="21"/>
  <c r="D102" i="5"/>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5" i="5"/>
  <c r="D68" i="5"/>
  <c r="D82" i="5"/>
  <c r="D90" i="5"/>
  <c r="D106" i="5"/>
  <c r="D107" i="5"/>
  <c r="D115" i="5"/>
  <c r="D123" i="5"/>
  <c r="D216" i="5"/>
  <c r="D220" i="5"/>
  <c r="D226" i="5"/>
  <c r="D234" i="5"/>
  <c r="D242" i="5"/>
  <c r="D64" i="18"/>
  <c r="D184" i="15"/>
  <c r="D296" i="15"/>
  <c r="D31" i="15"/>
  <c r="D51" i="15"/>
  <c r="D87" i="15"/>
  <c r="D90" i="15"/>
  <c r="D103" i="15"/>
  <c r="D119" i="15"/>
  <c r="D149" i="15"/>
  <c r="D165" i="15"/>
  <c r="D187" i="15"/>
  <c r="D191" i="15"/>
  <c r="D194" i="15"/>
  <c r="D263" i="15"/>
  <c r="D265" i="15"/>
  <c r="D273" i="15"/>
  <c r="D274" i="15"/>
  <c r="D280" i="15"/>
  <c r="D303" i="15"/>
  <c r="D309" i="15"/>
  <c r="D315" i="15"/>
  <c r="D331" i="15"/>
  <c r="D340" i="15"/>
  <c r="D341" i="15"/>
  <c r="D346" i="15"/>
  <c r="D353" i="15"/>
  <c r="D41" i="22"/>
  <c r="D33" i="22"/>
  <c r="D27" i="13"/>
  <c r="D36" i="13"/>
  <c r="D37" i="13"/>
  <c r="D38" i="13"/>
  <c r="D39" i="13"/>
  <c r="D40" i="13"/>
  <c r="D115" i="13"/>
  <c r="D116" i="13"/>
  <c r="D119" i="13"/>
  <c r="D120" i="13"/>
  <c r="D122" i="13"/>
  <c r="D49" i="14"/>
  <c r="D41" i="14"/>
  <c r="D33" i="14"/>
  <c r="D124" i="14"/>
  <c r="D116" i="14"/>
  <c r="D108" i="14"/>
  <c r="D102" i="14"/>
  <c r="D163" i="14"/>
  <c r="D153" i="14"/>
  <c r="D147" i="14"/>
  <c r="D240" i="14"/>
  <c r="D279" i="14"/>
  <c r="D271" i="14"/>
  <c r="D263" i="14"/>
  <c r="D255"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4" i="13"/>
  <c r="D68" i="13"/>
  <c r="D72" i="13"/>
  <c r="D76" i="13"/>
  <c r="D80" i="13"/>
  <c r="D84" i="13"/>
  <c r="D88" i="13"/>
  <c r="D103" i="13"/>
  <c r="D107" i="13"/>
  <c r="D111" i="13"/>
  <c r="D27" i="14"/>
  <c r="D448" i="14"/>
  <c r="D502" i="14"/>
  <c r="D494" i="14"/>
  <c r="D576" i="14"/>
  <c r="D571" i="14"/>
  <c r="D619" i="14"/>
  <c r="D611" i="14"/>
  <c r="D603" i="14"/>
  <c r="D733" i="14"/>
  <c r="D28" i="15"/>
  <c r="D35" i="15"/>
  <c r="D37" i="15"/>
  <c r="D38" i="15"/>
  <c r="D42" i="15"/>
  <c r="D43" i="15"/>
  <c r="D65" i="15"/>
  <c r="D82" i="15"/>
  <c r="D107" i="15"/>
  <c r="D123" i="15"/>
  <c r="D141" i="15"/>
  <c r="D142" i="15"/>
  <c r="D153" i="15"/>
  <c r="D156" i="15"/>
  <c r="D157" i="15"/>
  <c r="D158" i="15"/>
  <c r="D179" i="15"/>
  <c r="D188" i="15"/>
  <c r="D192" i="15"/>
  <c r="D198" i="15"/>
  <c r="D201" i="15"/>
  <c r="D202" i="15"/>
  <c r="D223" i="15"/>
  <c r="D239" i="15"/>
  <c r="D254" i="15"/>
  <c r="D255" i="15"/>
  <c r="D257" i="15"/>
  <c r="D258" i="15"/>
  <c r="D260" i="15"/>
  <c r="D270" i="15"/>
  <c r="D277" i="15"/>
  <c r="D278" i="15"/>
  <c r="D293" i="15"/>
  <c r="D299" i="15"/>
  <c r="D300" i="15"/>
  <c r="D305" i="15"/>
  <c r="D311" i="15"/>
  <c r="D312" i="15"/>
  <c r="D313" i="15"/>
  <c r="D319" i="15"/>
  <c r="D334" i="15"/>
  <c r="D335" i="15"/>
  <c r="D343" i="15"/>
  <c r="D344" i="15"/>
  <c r="D31" i="13"/>
  <c r="D32" i="13"/>
  <c r="D65"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217" i="14"/>
  <c r="D388" i="14"/>
  <c r="D369" i="14"/>
  <c r="D427" i="14"/>
  <c r="D419" i="14"/>
  <c r="D487" i="14"/>
  <c r="D542" i="14"/>
  <c r="D541" i="14"/>
  <c r="D526" i="14"/>
  <c r="D583" i="14"/>
  <c r="D572" i="14"/>
  <c r="D567" i="14"/>
  <c r="D658" i="14"/>
  <c r="D650" i="14"/>
  <c r="D642" i="14"/>
  <c r="D26" i="15"/>
  <c r="D27" i="15"/>
  <c r="D33" i="15"/>
  <c r="D34" i="15"/>
  <c r="D36" i="15"/>
  <c r="D39" i="15"/>
  <c r="D40" i="15"/>
  <c r="D41" i="15"/>
  <c r="D45" i="15"/>
  <c r="D46" i="15"/>
  <c r="D64" i="15"/>
  <c r="D74" i="15"/>
  <c r="D75" i="15"/>
  <c r="D76" i="15"/>
  <c r="D77" i="15"/>
  <c r="D79" i="15"/>
  <c r="D80" i="15"/>
  <c r="D81" i="15"/>
  <c r="D84" i="15"/>
  <c r="D85" i="15"/>
  <c r="D86" i="15"/>
  <c r="D102" i="15"/>
  <c r="D112" i="15"/>
  <c r="D116" i="15"/>
  <c r="D117" i="15"/>
  <c r="D118" i="15"/>
  <c r="D128" i="15"/>
  <c r="D151" i="15"/>
  <c r="D178" i="15"/>
  <c r="D181" i="15"/>
  <c r="D182" i="15"/>
  <c r="D183" i="15"/>
  <c r="D195" i="15"/>
  <c r="D217" i="15"/>
  <c r="D218"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03" i="22"/>
  <c r="D162" i="22"/>
  <c r="D161" i="22"/>
  <c r="D154" i="22"/>
  <c r="D153" i="22"/>
  <c r="D146" i="22"/>
  <c r="D145" i="22"/>
  <c r="D203" i="22"/>
  <c r="D195" i="22"/>
  <c r="D187" i="22"/>
  <c r="D179" i="22"/>
  <c r="D238" i="22"/>
  <c r="D230" i="22"/>
  <c r="D222" i="22"/>
  <c r="D357" i="22"/>
  <c r="D349" i="22"/>
  <c r="D341" i="22"/>
  <c r="D333" i="22"/>
  <c r="D459" i="22"/>
  <c r="D496" i="22"/>
  <c r="D488" i="22"/>
  <c r="D528" i="22"/>
  <c r="D520" i="22"/>
  <c r="D559" i="22"/>
  <c r="D34" i="22"/>
  <c r="D26" i="22"/>
  <c r="D88" i="22"/>
  <c r="D80" i="22"/>
  <c r="D126" i="22"/>
  <c r="D254" i="22"/>
  <c r="D316" i="22"/>
  <c r="D308" i="22"/>
  <c r="D300" i="22"/>
  <c r="D292" i="22"/>
  <c r="D368" i="22"/>
  <c r="D460" i="22"/>
  <c r="D452" i="22"/>
  <c r="D726" i="22"/>
  <c r="D765" i="22"/>
  <c r="D757" i="22"/>
  <c r="D884" i="22"/>
  <c r="D868" i="22"/>
  <c r="D925" i="22"/>
  <c r="D53" i="22"/>
  <c r="D45" i="22"/>
  <c r="D71" i="22"/>
  <c r="D120" i="22"/>
  <c r="D107" i="22"/>
  <c r="D199" i="22"/>
  <c r="D191" i="22"/>
  <c r="D241" i="22"/>
  <c r="D233" i="22"/>
  <c r="D225" i="22"/>
  <c r="D217" i="22"/>
  <c r="D353" i="22"/>
  <c r="D345" i="22"/>
  <c r="D337" i="22"/>
  <c r="D465" i="22"/>
  <c r="D455" i="22"/>
  <c r="D491" i="22"/>
  <c r="D483" i="22"/>
  <c r="D562" i="22"/>
  <c r="D621" i="22"/>
  <c r="D613" i="22"/>
  <c r="D605" i="22"/>
  <c r="D768" i="22"/>
  <c r="D795" i="22"/>
  <c r="D787" i="22"/>
  <c r="D1284" i="22"/>
  <c r="D1339" i="22"/>
  <c r="D1483" i="22"/>
  <c r="D1566" i="22"/>
  <c r="D1558" i="22"/>
  <c r="D1547" i="22"/>
  <c r="D1687" i="22"/>
  <c r="D1672" i="22"/>
  <c r="D1758"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661"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19" i="22"/>
  <c r="D1364" i="22"/>
  <c r="D1419" i="22"/>
  <c r="D1416" i="22"/>
  <c r="D1405" i="22"/>
  <c r="D1395" i="22"/>
  <c r="D1394" i="22"/>
  <c r="D1570" i="22"/>
  <c r="D1562" i="22"/>
  <c r="D1552" i="22"/>
  <c r="D1647" i="22"/>
  <c r="D1639" i="22"/>
  <c r="D1631" i="22"/>
  <c r="D1682" i="22"/>
  <c r="D1664" i="22"/>
  <c r="D1743" i="22"/>
  <c r="D1787" i="22"/>
  <c r="D1774"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6" i="21"/>
  <c r="D1322" i="21"/>
  <c r="D1332" i="21"/>
  <c r="D1338" i="21"/>
  <c r="D1345" i="21"/>
  <c r="D1352" i="21"/>
  <c r="D1355" i="21"/>
  <c r="D1363"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9" i="5"/>
  <c r="D117" i="5"/>
  <c r="D125" i="5"/>
  <c r="D145" i="5"/>
  <c r="D146" i="5"/>
  <c r="D153"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D1694" i="21"/>
  <c r="D1703" i="21"/>
  <c r="D1706" i="21"/>
  <c r="D1712" i="21"/>
  <c r="D1715" i="21"/>
  <c r="D1724" i="21"/>
  <c r="D27" i="5"/>
  <c r="D37" i="5"/>
  <c r="D40" i="5"/>
  <c r="D43" i="5"/>
  <c r="D53" i="5"/>
  <c r="D64" i="5"/>
  <c r="D74" i="5"/>
  <c r="D105" i="5"/>
  <c r="D113" i="5"/>
  <c r="D121" i="5"/>
  <c r="D129" i="5"/>
  <c r="D149" i="5"/>
  <c r="D150" i="5"/>
  <c r="D156" i="5"/>
  <c r="D157" i="5"/>
  <c r="D160" i="5"/>
  <c r="D164" i="5"/>
  <c r="D178" i="5"/>
  <c r="D185" i="5"/>
  <c r="D186" i="5"/>
  <c r="D193" i="5"/>
  <c r="D194" i="5"/>
  <c r="D84" i="18"/>
  <c r="D1510" i="21"/>
  <c r="D1518" i="21"/>
  <c r="D1534"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217" i="5"/>
  <c r="D218" i="5"/>
  <c r="D26" i="18"/>
  <c r="D27" i="18"/>
  <c r="D36" i="18"/>
  <c r="D39" i="18"/>
  <c r="D42" i="18"/>
  <c r="D52" i="18"/>
  <c r="D71" i="18"/>
  <c r="D74" i="18"/>
  <c r="D77" i="18"/>
  <c r="D87" i="18"/>
  <c r="D90" i="18"/>
  <c r="D108" i="18"/>
  <c r="D111" i="18"/>
  <c r="D115" i="18"/>
  <c r="D141" i="18"/>
  <c r="D142"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16" i="15"/>
  <c r="D232" i="15"/>
  <c r="D281" i="15"/>
  <c r="D316" i="15"/>
  <c r="D469" i="14"/>
  <c r="D486" i="14"/>
  <c r="D532" i="14"/>
  <c r="D582" i="14"/>
  <c r="D578" i="14"/>
  <c r="D574" i="14"/>
  <c r="D570"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27" i="9" a="1"/>
  <c r="CQ27" i="9" s="1"/>
  <c r="CM27" i="9" a="1"/>
  <c r="CM27" i="9" s="1"/>
  <c r="CI27" i="9" a="1"/>
  <c r="CI27" i="9" s="1"/>
  <c r="CD27" i="9" a="1"/>
  <c r="CD27" i="9" s="1"/>
  <c r="BZ27" i="9" a="1"/>
  <c r="BZ27" i="9" s="1"/>
  <c r="BV27" i="9" a="1"/>
  <c r="BV27" i="9" s="1"/>
  <c r="BR27" i="9" a="1"/>
  <c r="BR27" i="9" s="1"/>
  <c r="BN27" i="9" a="1"/>
  <c r="BN27" i="9" s="1"/>
  <c r="BJ27" i="9" a="1"/>
  <c r="BJ27" i="9" s="1"/>
  <c r="BF27" i="9" a="1"/>
  <c r="BF27" i="9" s="1"/>
  <c r="BB27" i="9" a="1"/>
  <c r="BB27" i="9" s="1"/>
  <c r="AX27" i="9" a="1"/>
  <c r="AX27" i="9" s="1"/>
  <c r="AT27" i="9" a="1"/>
  <c r="AT27" i="9" s="1"/>
  <c r="AP27" i="9" a="1"/>
  <c r="AP27" i="9" s="1"/>
  <c r="AL27" i="9" a="1"/>
  <c r="AL27" i="9" s="1"/>
  <c r="AH27" i="9" a="1"/>
  <c r="AH27" i="9" s="1"/>
  <c r="AD27" i="9" a="1"/>
  <c r="AD27" i="9" s="1"/>
  <c r="Z27" i="9" a="1"/>
  <c r="Z27" i="9" s="1"/>
  <c r="V27" i="9" a="1"/>
  <c r="V27" i="9" s="1"/>
  <c r="R27" i="9" a="1"/>
  <c r="R27" i="9" s="1"/>
  <c r="N27" i="9" a="1"/>
  <c r="N27" i="9" s="1"/>
  <c r="J27" i="9" a="1"/>
  <c r="J27" i="9" s="1"/>
  <c r="F27" i="9" a="1"/>
  <c r="F27" i="9" s="1"/>
  <c r="CP27" i="9" a="1"/>
  <c r="CP27" i="9" s="1"/>
  <c r="CL27" i="9" a="1"/>
  <c r="CL27" i="9" s="1"/>
  <c r="CH27" i="9" a="1"/>
  <c r="CH27" i="9" s="1"/>
  <c r="CC27" i="9" a="1"/>
  <c r="CC27" i="9" s="1"/>
  <c r="BY27" i="9" a="1"/>
  <c r="BY27" i="9" s="1"/>
  <c r="BU27" i="9" a="1"/>
  <c r="BU27" i="9" s="1"/>
  <c r="BQ27" i="9" a="1"/>
  <c r="BQ27" i="9" s="1"/>
  <c r="BM27" i="9" a="1"/>
  <c r="BM27" i="9" s="1"/>
  <c r="BI27" i="9" a="1"/>
  <c r="BI27" i="9" s="1"/>
  <c r="BE27" i="9" a="1"/>
  <c r="BE27" i="9" s="1"/>
  <c r="BA27" i="9" a="1"/>
  <c r="BA27" i="9" s="1"/>
  <c r="AW27" i="9" a="1"/>
  <c r="AW27" i="9" s="1"/>
  <c r="AS27" i="9" a="1"/>
  <c r="AS27" i="9" s="1"/>
  <c r="AO27" i="9" a="1"/>
  <c r="AO27" i="9" s="1"/>
  <c r="AK27" i="9" a="1"/>
  <c r="AK27" i="9" s="1"/>
  <c r="AG27" i="9" a="1"/>
  <c r="AG27" i="9" s="1"/>
  <c r="AC27" i="9" a="1"/>
  <c r="AC27" i="9" s="1"/>
  <c r="Y27" i="9" a="1"/>
  <c r="Y27" i="9" s="1"/>
  <c r="U27" i="9" a="1"/>
  <c r="U27" i="9" s="1"/>
  <c r="Q27" i="9" a="1"/>
  <c r="Q27" i="9" s="1"/>
  <c r="M27" i="9" a="1"/>
  <c r="M27" i="9" s="1"/>
  <c r="I27" i="9" a="1"/>
  <c r="I27" i="9" s="1"/>
  <c r="E27" i="9" a="1"/>
  <c r="E27" i="9" s="1"/>
  <c r="CN27" i="9" a="1"/>
  <c r="CN27" i="9" s="1"/>
  <c r="CE27" i="9" a="1"/>
  <c r="CE27" i="9" s="1"/>
  <c r="BW27" i="9" a="1"/>
  <c r="BW27" i="9" s="1"/>
  <c r="BO27" i="9" a="1"/>
  <c r="BO27" i="9" s="1"/>
  <c r="BG27" i="9" a="1"/>
  <c r="BG27" i="9" s="1"/>
  <c r="AY27" i="9" a="1"/>
  <c r="AY27" i="9" s="1"/>
  <c r="AQ27" i="9" a="1"/>
  <c r="AQ27" i="9" s="1"/>
  <c r="AI27" i="9" a="1"/>
  <c r="AI27" i="9" s="1"/>
  <c r="AA27" i="9" a="1"/>
  <c r="AA27" i="9" s="1"/>
  <c r="S27" i="9" a="1"/>
  <c r="S27" i="9" s="1"/>
  <c r="K27" i="9" a="1"/>
  <c r="K27" i="9" s="1"/>
  <c r="CK27" i="9" a="1"/>
  <c r="CK27" i="9" s="1"/>
  <c r="CB27" i="9" a="1"/>
  <c r="CB27" i="9" s="1"/>
  <c r="BT27" i="9" a="1"/>
  <c r="BT27" i="9" s="1"/>
  <c r="BL27" i="9" a="1"/>
  <c r="BL27" i="9" s="1"/>
  <c r="BD27" i="9" a="1"/>
  <c r="BD27" i="9" s="1"/>
  <c r="AV27" i="9" a="1"/>
  <c r="AV27" i="9" s="1"/>
  <c r="AN27" i="9" a="1"/>
  <c r="AN27" i="9" s="1"/>
  <c r="AF27" i="9" a="1"/>
  <c r="AF27" i="9" s="1"/>
  <c r="X27" i="9" a="1"/>
  <c r="X27" i="9" s="1"/>
  <c r="P27" i="9" a="1"/>
  <c r="P27" i="9" s="1"/>
  <c r="H27" i="9" a="1"/>
  <c r="H27" i="9" s="1"/>
  <c r="CR27" i="9" a="1"/>
  <c r="CR27" i="9" s="1"/>
  <c r="CJ27" i="9" a="1"/>
  <c r="CJ27" i="9" s="1"/>
  <c r="CA27" i="9" a="1"/>
  <c r="CA27" i="9" s="1"/>
  <c r="BS27" i="9" a="1"/>
  <c r="BS27" i="9" s="1"/>
  <c r="BK27" i="9" a="1"/>
  <c r="BK27" i="9" s="1"/>
  <c r="BC27" i="9" a="1"/>
  <c r="BC27" i="9" s="1"/>
  <c r="AU27" i="9" a="1"/>
  <c r="AU27" i="9" s="1"/>
  <c r="AM27" i="9" a="1"/>
  <c r="AM27" i="9" s="1"/>
  <c r="AE27" i="9" a="1"/>
  <c r="AE27" i="9" s="1"/>
  <c r="W27" i="9" a="1"/>
  <c r="W27" i="9" s="1"/>
  <c r="O27" i="9" a="1"/>
  <c r="O27" i="9" s="1"/>
  <c r="G27" i="9" a="1"/>
  <c r="G27" i="9" s="1"/>
  <c r="CO27" i="9" a="1"/>
  <c r="CO27" i="9" s="1"/>
  <c r="CF27" i="9" a="1"/>
  <c r="CF27" i="9" s="1"/>
  <c r="BX27" i="9" a="1"/>
  <c r="BX27" i="9" s="1"/>
  <c r="BP27" i="9" a="1"/>
  <c r="BP27" i="9" s="1"/>
  <c r="BH27" i="9" a="1"/>
  <c r="BH27" i="9" s="1"/>
  <c r="AZ27" i="9" a="1"/>
  <c r="AZ27" i="9" s="1"/>
  <c r="AR27" i="9" a="1"/>
  <c r="AR27" i="9" s="1"/>
  <c r="AJ27" i="9" a="1"/>
  <c r="AJ27" i="9" s="1"/>
  <c r="AB27" i="9" a="1"/>
  <c r="AB27" i="9" s="1"/>
  <c r="T27" i="9" a="1"/>
  <c r="T27" i="9" s="1"/>
  <c r="L27" i="9" a="1"/>
  <c r="L27"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26" i="14"/>
  <c r="D127" i="14"/>
  <c r="D123" i="14"/>
  <c r="D119" i="14"/>
  <c r="D115" i="14"/>
  <c r="D111" i="14"/>
  <c r="D107" i="14"/>
  <c r="D105" i="14"/>
  <c r="D198" i="14"/>
  <c r="D190" i="14"/>
  <c r="D182" i="14"/>
  <c r="D233" i="14"/>
  <c r="D224" i="14"/>
  <c r="D216" i="14"/>
  <c r="D278" i="14"/>
  <c r="D270" i="14"/>
  <c r="D262" i="14"/>
  <c r="D254" i="14"/>
  <c r="D357" i="14"/>
  <c r="D354" i="14"/>
  <c r="D353" i="14"/>
  <c r="D350" i="14"/>
  <c r="D349" i="14"/>
  <c r="D346" i="14"/>
  <c r="D345" i="14"/>
  <c r="D342" i="14"/>
  <c r="D341" i="14"/>
  <c r="D338" i="14"/>
  <c r="D337" i="14"/>
  <c r="D334" i="14"/>
  <c r="D333" i="14"/>
  <c r="D330" i="14"/>
  <c r="D385" i="14"/>
  <c r="D381" i="14"/>
  <c r="D368" i="14"/>
  <c r="D406" i="14"/>
  <c r="D468" i="14"/>
  <c r="D460" i="14"/>
  <c r="D452" i="14"/>
  <c r="D444" i="14"/>
  <c r="D483" i="14"/>
  <c r="D545" i="14"/>
  <c r="D537" i="14"/>
  <c r="D529" i="14"/>
  <c r="D521" i="14"/>
  <c r="D559" i="14"/>
  <c r="D621" i="14"/>
  <c r="D613" i="14"/>
  <c r="D605" i="14"/>
  <c r="D597" i="14"/>
  <c r="D634" i="14"/>
  <c r="D685" i="14"/>
  <c r="D677" i="14"/>
  <c r="D675" i="14"/>
  <c r="D735" i="14"/>
  <c r="D726" i="14"/>
  <c r="D718" i="14"/>
  <c r="D710"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31" i="14"/>
  <c r="D126" i="14"/>
  <c r="D122" i="14"/>
  <c r="D118" i="14"/>
  <c r="D114" i="14"/>
  <c r="D110" i="14"/>
  <c r="D106" i="14"/>
  <c r="D164" i="14"/>
  <c r="D160" i="14"/>
  <c r="D156" i="14"/>
  <c r="D152" i="14"/>
  <c r="D148" i="14"/>
  <c r="D144" i="14"/>
  <c r="D140" i="14"/>
  <c r="D203" i="14"/>
  <c r="D195" i="14"/>
  <c r="D187" i="14"/>
  <c r="D179" i="14"/>
  <c r="D232" i="14"/>
  <c r="D229" i="14"/>
  <c r="D221" i="14"/>
  <c r="D275" i="14"/>
  <c r="D267" i="14"/>
  <c r="D259" i="14"/>
  <c r="D391" i="14"/>
  <c r="D384" i="14"/>
  <c r="D380" i="14"/>
  <c r="D377" i="14"/>
  <c r="D413" i="14"/>
  <c r="D465" i="14"/>
  <c r="D457" i="14"/>
  <c r="D449" i="14"/>
  <c r="D482" i="14"/>
  <c r="D544" i="14"/>
  <c r="D536" i="14"/>
  <c r="D528" i="14"/>
  <c r="D520" i="14"/>
  <c r="D558" i="14"/>
  <c r="D620" i="14"/>
  <c r="D612" i="14"/>
  <c r="D604" i="14"/>
  <c r="D596" i="14"/>
  <c r="D684" i="14"/>
  <c r="D676" i="14"/>
  <c r="D734" i="14"/>
  <c r="D731" i="14"/>
  <c r="D723" i="14"/>
  <c r="D715" i="14"/>
  <c r="D1116" i="22"/>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64" i="14"/>
  <c r="D103" i="14"/>
  <c r="D202" i="14"/>
  <c r="D194" i="14"/>
  <c r="D186" i="14"/>
  <c r="D178" i="14"/>
  <c r="D228" i="14"/>
  <c r="D220" i="14"/>
  <c r="D274" i="14"/>
  <c r="D266" i="14"/>
  <c r="D258" i="14"/>
  <c r="D319" i="14"/>
  <c r="D316" i="14"/>
  <c r="D315" i="14"/>
  <c r="D312" i="14"/>
  <c r="D311" i="14"/>
  <c r="D308" i="14"/>
  <c r="D307" i="14"/>
  <c r="D304" i="14"/>
  <c r="D303" i="14"/>
  <c r="D300" i="14"/>
  <c r="D299" i="14"/>
  <c r="D296" i="14"/>
  <c r="D295" i="14"/>
  <c r="D293" i="14"/>
  <c r="D392" i="14"/>
  <c r="D376" i="14"/>
  <c r="D430" i="14"/>
  <c r="D426" i="14"/>
  <c r="D422" i="14"/>
  <c r="D418" i="14"/>
  <c r="D414" i="14"/>
  <c r="D464" i="14"/>
  <c r="D525" i="14"/>
  <c r="D617" i="14"/>
  <c r="D609" i="14"/>
  <c r="D601" i="14"/>
  <c r="D637" i="14"/>
  <c r="D681" i="14"/>
  <c r="D672" i="14"/>
  <c r="D730" i="14"/>
  <c r="D722" i="14"/>
  <c r="D714" i="14"/>
  <c r="D1420" i="22"/>
  <c r="D46" i="21"/>
  <c r="D59" i="21"/>
  <c r="D145" i="21"/>
  <c r="D161" i="21"/>
  <c r="D180" i="21"/>
  <c r="D39" i="22"/>
  <c r="D31" i="22"/>
  <c r="D85" i="22"/>
  <c r="D77" i="22"/>
  <c r="D122" i="22"/>
  <c r="D114" i="22"/>
  <c r="D113" i="22"/>
  <c r="D111" i="22"/>
  <c r="D102" i="22"/>
  <c r="D160" i="22"/>
  <c r="D152" i="22"/>
  <c r="D144" i="22"/>
  <c r="D202" i="22"/>
  <c r="D198" i="22"/>
  <c r="D194" i="22"/>
  <c r="D190" i="22"/>
  <c r="D186" i="22"/>
  <c r="D178" i="22"/>
  <c r="D240" i="22"/>
  <c r="D232" i="22"/>
  <c r="D224" i="22"/>
  <c r="D216" i="22"/>
  <c r="D313" i="22"/>
  <c r="D305" i="22"/>
  <c r="D297" i="22"/>
  <c r="D395" i="22"/>
  <c r="D392" i="22"/>
  <c r="D391" i="22"/>
  <c r="D388" i="22"/>
  <c r="D387" i="22"/>
  <c r="D384" i="22"/>
  <c r="D383" i="22"/>
  <c r="D380" i="22"/>
  <c r="D379" i="22"/>
  <c r="D376" i="22"/>
  <c r="D431" i="22"/>
  <c r="D427" i="22"/>
  <c r="D423" i="22"/>
  <c r="D419" i="22"/>
  <c r="D415" i="22"/>
  <c r="D411" i="22"/>
  <c r="D407" i="22"/>
  <c r="D469" i="22"/>
  <c r="D449" i="22"/>
  <c r="D509" i="22"/>
  <c r="D506" i="22"/>
  <c r="D505" i="22"/>
  <c r="D502" i="22"/>
  <c r="D501" i="22"/>
  <c r="D498" i="22"/>
  <c r="D490" i="22"/>
  <c r="D482" i="22"/>
  <c r="D525" i="22"/>
  <c r="D558" i="22"/>
  <c r="D620" i="22"/>
  <c r="D612" i="22"/>
  <c r="D604" i="22"/>
  <c r="D654" i="22"/>
  <c r="D646" i="22"/>
  <c r="D638" i="22"/>
  <c r="D692" i="22"/>
  <c r="D684" i="22"/>
  <c r="D676" i="22"/>
  <c r="D730" i="22"/>
  <c r="D722" i="22"/>
  <c r="D714" i="22"/>
  <c r="D772" i="22"/>
  <c r="D749" i="22"/>
  <c r="D811" i="22"/>
  <c r="D809" i="22"/>
  <c r="D799" i="22"/>
  <c r="D791" i="22"/>
  <c r="D887" i="22"/>
  <c r="D879" i="22"/>
  <c r="D871" i="22"/>
  <c r="D863"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05" i="22"/>
  <c r="D1295" i="22"/>
  <c r="D1289" i="22"/>
  <c r="D1281" i="22"/>
  <c r="D1338" i="22"/>
  <c r="D1334" i="22"/>
  <c r="D1330" i="22"/>
  <c r="D1326" i="22"/>
  <c r="D1322" i="22"/>
  <c r="D1318" i="22"/>
  <c r="D1360" i="22"/>
  <c r="D1356" i="22"/>
  <c r="D1436" i="22"/>
  <c r="D1490" i="22"/>
  <c r="D1482" i="22"/>
  <c r="D1532" i="22"/>
  <c r="D1528" i="22"/>
  <c r="D1524" i="22"/>
  <c r="D1520" i="22"/>
  <c r="D1517" i="22"/>
  <c r="D1509" i="22"/>
  <c r="D1555" i="22"/>
  <c r="D1546" i="22"/>
  <c r="D1588" i="22"/>
  <c r="D1646" i="22"/>
  <c r="D1642" i="22"/>
  <c r="D1638" i="22"/>
  <c r="D1634" i="22"/>
  <c r="D1630" i="22"/>
  <c r="D1626" i="22"/>
  <c r="D1677" i="22"/>
  <c r="D1669" i="22"/>
  <c r="D1660" i="22"/>
  <c r="D1756" i="22"/>
  <c r="D1745" i="22"/>
  <c r="D1737" i="22"/>
  <c r="D1790" i="22"/>
  <c r="D1789" i="22"/>
  <c r="D1786" i="22"/>
  <c r="D1785" i="22"/>
  <c r="D1782" i="22"/>
  <c r="D1781" i="22"/>
  <c r="D1779" i="22"/>
  <c r="D1838" i="22"/>
  <c r="D1837" i="22"/>
  <c r="D1834" i="22"/>
  <c r="D1833" i="22"/>
  <c r="D1830" i="22"/>
  <c r="D1829" i="22"/>
  <c r="D1826" i="22"/>
  <c r="D1825" i="22"/>
  <c r="D1822" i="22"/>
  <c r="D1821" i="22"/>
  <c r="D1818" i="22"/>
  <c r="D1817" i="22"/>
  <c r="D1814" i="22"/>
  <c r="D1813" i="22"/>
  <c r="D1874" i="22"/>
  <c r="D1872" i="22"/>
  <c r="D1866" i="22"/>
  <c r="D1858" i="22"/>
  <c r="D1850" i="22"/>
  <c r="D38" i="22"/>
  <c r="D30" i="22"/>
  <c r="D84" i="22"/>
  <c r="D76" i="22"/>
  <c r="D72" i="22"/>
  <c r="D68" i="22"/>
  <c r="D64" i="22"/>
  <c r="D119" i="22"/>
  <c r="D110" i="22"/>
  <c r="D163" i="22"/>
  <c r="D157" i="22"/>
  <c r="D149" i="22"/>
  <c r="D141" i="22"/>
  <c r="D183" i="22"/>
  <c r="D237" i="22"/>
  <c r="D229" i="22"/>
  <c r="D221" i="22"/>
  <c r="D312" i="22"/>
  <c r="D304" i="22"/>
  <c r="D296" i="22"/>
  <c r="D354" i="22"/>
  <c r="D350" i="22"/>
  <c r="D346" i="22"/>
  <c r="D342" i="22"/>
  <c r="D338" i="22"/>
  <c r="D334" i="22"/>
  <c r="D330" i="22"/>
  <c r="D373" i="22"/>
  <c r="D430" i="22"/>
  <c r="D426" i="22"/>
  <c r="D422" i="22"/>
  <c r="D418" i="22"/>
  <c r="D414" i="22"/>
  <c r="D410" i="22"/>
  <c r="D406" i="22"/>
  <c r="D468" i="22"/>
  <c r="D448" i="22"/>
  <c r="D495" i="22"/>
  <c r="D487" i="22"/>
  <c r="D531" i="22"/>
  <c r="D524" i="22"/>
  <c r="D582" i="22"/>
  <c r="D578" i="22"/>
  <c r="D574" i="22"/>
  <c r="D570" i="22"/>
  <c r="D566" i="22"/>
  <c r="D617" i="22"/>
  <c r="D609" i="22"/>
  <c r="D600" i="22"/>
  <c r="D597" i="22"/>
  <c r="D659" i="22"/>
  <c r="D651" i="22"/>
  <c r="D643" i="22"/>
  <c r="D635" i="22"/>
  <c r="D697" i="22"/>
  <c r="D689" i="22"/>
  <c r="D681" i="22"/>
  <c r="D673" i="22"/>
  <c r="D735" i="22"/>
  <c r="D727" i="22"/>
  <c r="D719" i="22"/>
  <c r="D711" i="22"/>
  <c r="D769" i="22"/>
  <c r="D748" i="22"/>
  <c r="D810" i="22"/>
  <c r="D798" i="22"/>
  <c r="D790" i="22"/>
  <c r="D851" i="22"/>
  <c r="D848" i="22"/>
  <c r="D847" i="22"/>
  <c r="D844" i="22"/>
  <c r="D843" i="22"/>
  <c r="D840" i="22"/>
  <c r="D839" i="22"/>
  <c r="D836" i="22"/>
  <c r="D835" i="22"/>
  <c r="D832" i="22"/>
  <c r="D831" i="22"/>
  <c r="D828" i="22"/>
  <c r="D827" i="22"/>
  <c r="D824" i="22"/>
  <c r="D886" i="22"/>
  <c r="D878" i="22"/>
  <c r="D870" i="22"/>
  <c r="D862" i="22"/>
  <c r="D901" i="22"/>
  <c r="D939" i="22"/>
  <c r="D1001" i="22"/>
  <c r="D988" i="22"/>
  <c r="D1038" i="22"/>
  <c r="D1034" i="22"/>
  <c r="D1030" i="22"/>
  <c r="D1026" i="22"/>
  <c r="D1022" i="22"/>
  <c r="D1018" i="22"/>
  <c r="D1064" i="22"/>
  <c r="D1060" i="22"/>
  <c r="D1056" i="22"/>
  <c r="D1052" i="22"/>
  <c r="D1111" i="22"/>
  <c r="D1095" i="22"/>
  <c r="D1228" i="22"/>
  <c r="D1220" i="22"/>
  <c r="D1216" i="22"/>
  <c r="D1212" i="22"/>
  <c r="D1204" i="22"/>
  <c r="D1304" i="22"/>
  <c r="D1300" i="22"/>
  <c r="D1296" i="22"/>
  <c r="D1288" i="22"/>
  <c r="D1280" i="22"/>
  <c r="D1418" i="22"/>
  <c r="D1410" i="22"/>
  <c r="D1439" i="22"/>
  <c r="D1433" i="22"/>
  <c r="D1495" i="22"/>
  <c r="D1487" i="22"/>
  <c r="D1478" i="22"/>
  <c r="D1474" i="22"/>
  <c r="D1471" i="22"/>
  <c r="D1516" i="22"/>
  <c r="D1515" i="22"/>
  <c r="D1514" i="22"/>
  <c r="D1508" i="22"/>
  <c r="D1554" i="22"/>
  <c r="D1551" i="22"/>
  <c r="D1610" i="22"/>
  <c r="D1609" i="22"/>
  <c r="D1606" i="22"/>
  <c r="D1605" i="22"/>
  <c r="D1602" i="22"/>
  <c r="D1601" i="22"/>
  <c r="D1598" i="22"/>
  <c r="D1597" i="22"/>
  <c r="D1594" i="22"/>
  <c r="D1593" i="22"/>
  <c r="D1585" i="22"/>
  <c r="D1623" i="22"/>
  <c r="D1684" i="22"/>
  <c r="D1676" i="22"/>
  <c r="D1674" i="22"/>
  <c r="D1668" i="22"/>
  <c r="D1667" i="22"/>
  <c r="D1666" i="22"/>
  <c r="D1761" i="22"/>
  <c r="D1753" i="22"/>
  <c r="D1751" i="22"/>
  <c r="D1744" i="22"/>
  <c r="D1736" i="22"/>
  <c r="D1778" i="22"/>
  <c r="D1839" i="22"/>
  <c r="D1836" i="22"/>
  <c r="D1835" i="22"/>
  <c r="D1832" i="22"/>
  <c r="D1831" i="22"/>
  <c r="D1828" i="22"/>
  <c r="D1827" i="22"/>
  <c r="D1824" i="22"/>
  <c r="D1823" i="22"/>
  <c r="D1820" i="22"/>
  <c r="D1819" i="22"/>
  <c r="D1816" i="22"/>
  <c r="D1815" i="22"/>
  <c r="D1812"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27" i="22"/>
  <c r="D89" i="22"/>
  <c r="D81" i="22"/>
  <c r="D125" i="22"/>
  <c r="D118" i="22"/>
  <c r="D106" i="22"/>
  <c r="D167" i="22"/>
  <c r="D164" i="22"/>
  <c r="D156" i="22"/>
  <c r="D148" i="22"/>
  <c r="D140" i="22"/>
  <c r="D182" i="22"/>
  <c r="D236" i="22"/>
  <c r="D228" i="22"/>
  <c r="D220" i="22"/>
  <c r="D281" i="22"/>
  <c r="D278" i="22"/>
  <c r="D277" i="22"/>
  <c r="D274" i="22"/>
  <c r="D273" i="22"/>
  <c r="D270" i="22"/>
  <c r="D269" i="22"/>
  <c r="D266" i="22"/>
  <c r="D265" i="22"/>
  <c r="D262" i="22"/>
  <c r="D261" i="22"/>
  <c r="D258" i="22"/>
  <c r="D255" i="22"/>
  <c r="D317" i="22"/>
  <c r="D309" i="22"/>
  <c r="D301" i="22"/>
  <c r="D293" i="22"/>
  <c r="D372" i="22"/>
  <c r="D464" i="22"/>
  <c r="D463" i="22"/>
  <c r="D461" i="22"/>
  <c r="D457" i="22"/>
  <c r="D453" i="22"/>
  <c r="D451" i="22"/>
  <c r="D444" i="22"/>
  <c r="D494" i="22"/>
  <c r="D486" i="22"/>
  <c r="D544" i="22"/>
  <c r="D540" i="22"/>
  <c r="D536" i="22"/>
  <c r="D532" i="22"/>
  <c r="D521" i="22"/>
  <c r="D563" i="22"/>
  <c r="D616" i="22"/>
  <c r="D608" i="22"/>
  <c r="D596" i="22"/>
  <c r="D658" i="22"/>
  <c r="D650" i="22"/>
  <c r="D642" i="22"/>
  <c r="D634" i="22"/>
  <c r="D696" i="22"/>
  <c r="D688" i="22"/>
  <c r="D680" i="22"/>
  <c r="D672" i="22"/>
  <c r="D883" i="22"/>
  <c r="D875" i="22"/>
  <c r="D867" i="22"/>
  <c r="D900" i="22"/>
  <c r="D938" i="22"/>
  <c r="D1014" i="22"/>
  <c r="D1107" i="22"/>
  <c r="D1091"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32" i="22"/>
  <c r="D1494" i="22"/>
  <c r="D1486" i="22"/>
  <c r="D1470" i="22"/>
  <c r="D1513" i="22"/>
  <c r="D1550" i="22"/>
  <c r="D1608" i="22"/>
  <c r="D1604" i="22"/>
  <c r="D1600" i="22"/>
  <c r="D1596" i="22"/>
  <c r="D1592" i="22"/>
  <c r="D1584" i="22"/>
  <c r="D1622" i="22"/>
  <c r="D1681" i="22"/>
  <c r="D1673" i="22"/>
  <c r="D1665" i="22"/>
  <c r="D1725" i="22"/>
  <c r="D1722" i="22"/>
  <c r="D1721" i="22"/>
  <c r="D1718" i="22"/>
  <c r="D1717" i="22"/>
  <c r="D1714" i="22"/>
  <c r="D1713" i="22"/>
  <c r="D1710" i="22"/>
  <c r="D1706" i="22"/>
  <c r="D1702" i="22"/>
  <c r="D1698" i="22"/>
  <c r="D1760" i="22"/>
  <c r="D1752" i="22"/>
  <c r="D1741" i="22"/>
  <c r="D1793" i="22"/>
  <c r="D1775"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786" i="22"/>
  <c r="D882" i="22"/>
  <c r="D874" i="22"/>
  <c r="D866" i="22"/>
  <c r="D924" i="22"/>
  <c r="D920" i="22"/>
  <c r="D916" i="22"/>
  <c r="D912" i="22"/>
  <c r="D908" i="22"/>
  <c r="D905" i="22"/>
  <c r="D996" i="22"/>
  <c r="D992" i="22"/>
  <c r="D984" i="22"/>
  <c r="D980" i="22"/>
  <c r="D976" i="22"/>
  <c r="D1076" i="22"/>
  <c r="D1112" i="22"/>
  <c r="D1106" i="22"/>
  <c r="D1103" i="22"/>
  <c r="D1096" i="22"/>
  <c r="D1090" i="22"/>
  <c r="D1152" i="22"/>
  <c r="D1148" i="22"/>
  <c r="D1144" i="22"/>
  <c r="D1140" i="22"/>
  <c r="D1136" i="22"/>
  <c r="D1132" i="22"/>
  <c r="D1128" i="22"/>
  <c r="D1190" i="22"/>
  <c r="D1186" i="22"/>
  <c r="D1182" i="22"/>
  <c r="D1178" i="22"/>
  <c r="D1174" i="22"/>
  <c r="D1170" i="22"/>
  <c r="D1166" i="22"/>
  <c r="D1224" i="22"/>
  <c r="D1208" i="22"/>
  <c r="D1266" i="22"/>
  <c r="D1262" i="22"/>
  <c r="D1258" i="22"/>
  <c r="D1254" i="22"/>
  <c r="D1250" i="22"/>
  <c r="D1246" i="22"/>
  <c r="D1242" i="22"/>
  <c r="D158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03" i="5"/>
  <c r="D111" i="5"/>
  <c r="D119" i="5"/>
  <c r="D127" i="5"/>
  <c r="D148" i="5"/>
  <c r="D155" i="5"/>
  <c r="D47" i="18"/>
  <c r="D66" i="18"/>
  <c r="D82" i="18"/>
  <c r="D103" i="18"/>
  <c r="D1671" i="21"/>
  <c r="D1679" i="21"/>
  <c r="D1687" i="21"/>
  <c r="D32" i="5"/>
  <c r="D33" i="18"/>
  <c r="D41" i="18"/>
  <c r="D49" i="18"/>
  <c r="D105" i="18"/>
  <c r="D113" i="18"/>
  <c r="D114" i="18"/>
  <c r="D129" i="18"/>
  <c r="D145" i="18"/>
  <c r="D153" i="18"/>
  <c r="D161" i="18"/>
  <c r="D180" i="18"/>
  <c r="D188" i="18"/>
  <c r="D196" i="18"/>
  <c r="D140" i="18"/>
  <c r="D148" i="18"/>
  <c r="D156" i="18"/>
  <c r="D164" i="18"/>
  <c r="D183" i="18"/>
  <c r="D191" i="18"/>
  <c r="D199" i="18"/>
  <c r="D200" i="18"/>
  <c r="D192" i="18"/>
  <c r="D203" i="18"/>
  <c r="D204" i="18"/>
  <c r="D29" i="18"/>
  <c r="D30" i="18"/>
  <c r="D118" i="18"/>
  <c r="D122" i="18"/>
  <c r="D126" i="18"/>
  <c r="D144" i="18"/>
  <c r="D152" i="18"/>
  <c r="D160" i="18"/>
  <c r="D179" i="18"/>
  <c r="D187" i="18"/>
  <c r="D195" i="18"/>
  <c r="D1877" i="22"/>
  <c r="D1876" i="22"/>
  <c r="D1869" i="22"/>
  <c r="D1868" i="22"/>
  <c r="D1861" i="22"/>
  <c r="D1860" i="22"/>
  <c r="D1853" i="22"/>
  <c r="D1852" i="22"/>
  <c r="D1865" i="22"/>
  <c r="D1864" i="22"/>
  <c r="D1857" i="22"/>
  <c r="D1856"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699" i="22"/>
  <c r="D1709" i="22"/>
  <c r="D1705" i="22"/>
  <c r="D1701" i="22"/>
  <c r="D1662" i="22"/>
  <c r="D1679" i="22"/>
  <c r="D1678" i="22"/>
  <c r="D1671" i="22"/>
  <c r="D1670" i="22"/>
  <c r="D1663" i="22"/>
  <c r="D1686" i="22"/>
  <c r="D1685" i="22"/>
  <c r="D1649" i="22"/>
  <c r="D1645" i="22"/>
  <c r="D1641" i="22"/>
  <c r="D1637" i="22"/>
  <c r="D1633" i="22"/>
  <c r="D1629" i="22"/>
  <c r="D1625" i="22"/>
  <c r="D1624" i="22"/>
  <c r="D1587" i="22"/>
  <c r="D1586" i="22"/>
  <c r="D1611" i="22"/>
  <c r="D1607" i="22"/>
  <c r="D1603" i="22"/>
  <c r="D1599" i="22"/>
  <c r="D1595" i="22"/>
  <c r="D1591" i="22"/>
  <c r="D1590"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17" i="22"/>
  <c r="D1409" i="22"/>
  <c r="D1404" i="22"/>
  <c r="D1400" i="22"/>
  <c r="D1396" i="22"/>
  <c r="D1421" i="22"/>
  <c r="D1413" i="22"/>
  <c r="D1359" i="22"/>
  <c r="D1382" i="22"/>
  <c r="D1378" i="22"/>
  <c r="D1374" i="22"/>
  <c r="D1370" i="22"/>
  <c r="D1366" i="22"/>
  <c r="D1344" i="22"/>
  <c r="D1343" i="22"/>
  <c r="D1340" i="22"/>
  <c r="D1337" i="22"/>
  <c r="D1333" i="22"/>
  <c r="D1329" i="22"/>
  <c r="D1325" i="22"/>
  <c r="D1321"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43" i="22"/>
  <c r="D1231" i="22"/>
  <c r="D1230" i="22"/>
  <c r="D1222" i="22"/>
  <c r="D1207" i="22"/>
  <c r="D1206"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53" i="22"/>
  <c r="D1078" i="22"/>
  <c r="D1074" i="22"/>
  <c r="D1079" i="22"/>
  <c r="D1077" i="22"/>
  <c r="D1075" i="22"/>
  <c r="D1073" i="22"/>
  <c r="D1070" i="22"/>
  <c r="D1066" i="22"/>
  <c r="D1041" i="22"/>
  <c r="D1037" i="22"/>
  <c r="D1033" i="22"/>
  <c r="D1029" i="22"/>
  <c r="D1025" i="22"/>
  <c r="D1021" i="22"/>
  <c r="D1016" i="22"/>
  <c r="D1015" i="22"/>
  <c r="D987" i="22"/>
  <c r="D986" i="22"/>
  <c r="D995" i="22"/>
  <c r="D991" i="22"/>
  <c r="D990" i="22"/>
  <c r="D983" i="22"/>
  <c r="D979" i="22"/>
  <c r="D965" i="22"/>
  <c r="D961" i="22"/>
  <c r="D957" i="22"/>
  <c r="D953" i="22"/>
  <c r="D949" i="22"/>
  <c r="D945" i="22"/>
  <c r="D941" i="22"/>
  <c r="D940" i="22"/>
  <c r="D903" i="22"/>
  <c r="D902" i="22"/>
  <c r="D889" i="22"/>
  <c r="D888" i="22"/>
  <c r="D881" i="22"/>
  <c r="D880" i="22"/>
  <c r="D873" i="22"/>
  <c r="D872" i="22"/>
  <c r="D865" i="22"/>
  <c r="D864" i="22"/>
  <c r="D850" i="22"/>
  <c r="D849" i="22"/>
  <c r="D846" i="22"/>
  <c r="D845" i="22"/>
  <c r="D842" i="22"/>
  <c r="D841" i="22"/>
  <c r="D838" i="22"/>
  <c r="D837" i="22"/>
  <c r="D834" i="22"/>
  <c r="D833" i="22"/>
  <c r="D830" i="22"/>
  <c r="D829" i="22"/>
  <c r="D826" i="22"/>
  <c r="D825" i="22"/>
  <c r="D808" i="22"/>
  <c r="D797" i="22"/>
  <c r="D796" i="22"/>
  <c r="D789" i="22"/>
  <c r="D788" i="22"/>
  <c r="D804" i="22"/>
  <c r="D803" i="22"/>
  <c r="D774" i="22"/>
  <c r="D773" i="22"/>
  <c r="D763" i="22"/>
  <c r="D759" i="22"/>
  <c r="D755" i="22"/>
  <c r="D751" i="22"/>
  <c r="D750" i="22"/>
  <c r="D775" i="22"/>
  <c r="D770" i="22"/>
  <c r="D737" i="22"/>
  <c r="D736" i="22"/>
  <c r="D729" i="22"/>
  <c r="D728" i="22"/>
  <c r="D721" i="22"/>
  <c r="D720" i="22"/>
  <c r="D713" i="22"/>
  <c r="D712" i="22"/>
  <c r="D699" i="22"/>
  <c r="D698" i="22"/>
  <c r="D691" i="22"/>
  <c r="D690" i="22"/>
  <c r="D683" i="22"/>
  <c r="D682" i="22"/>
  <c r="D675" i="22"/>
  <c r="D674" i="22"/>
  <c r="D695" i="22"/>
  <c r="D694" i="22"/>
  <c r="D687" i="22"/>
  <c r="D686" i="22"/>
  <c r="D679" i="22"/>
  <c r="D678"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60" i="22"/>
  <c r="D584" i="22"/>
  <c r="D583" i="22"/>
  <c r="D580" i="22"/>
  <c r="D579" i="22"/>
  <c r="D576" i="22"/>
  <c r="D575" i="22"/>
  <c r="D572" i="22"/>
  <c r="D571" i="22"/>
  <c r="D568" i="22"/>
  <c r="D567" i="22"/>
  <c r="D546" i="22"/>
  <c r="D545" i="22"/>
  <c r="D542" i="22"/>
  <c r="D541" i="22"/>
  <c r="D538" i="22"/>
  <c r="D537" i="22"/>
  <c r="D534" i="22"/>
  <c r="D533" i="22"/>
  <c r="D523" i="22"/>
  <c r="D522" i="22"/>
  <c r="D547" i="22"/>
  <c r="D543" i="22"/>
  <c r="D539" i="22"/>
  <c r="D535" i="22"/>
  <c r="D530" i="22"/>
  <c r="D529" i="22"/>
  <c r="D526" i="22"/>
  <c r="D493" i="22"/>
  <c r="D492" i="22"/>
  <c r="D485" i="22"/>
  <c r="D484" i="22"/>
  <c r="D508" i="22"/>
  <c r="D507" i="22"/>
  <c r="D504" i="22"/>
  <c r="D503" i="22"/>
  <c r="D500" i="22"/>
  <c r="D499" i="22"/>
  <c r="D462" i="22"/>
  <c r="D447" i="22"/>
  <c r="D446" i="22"/>
  <c r="D445" i="22"/>
  <c r="D433" i="22"/>
  <c r="D429" i="22"/>
  <c r="D425" i="22"/>
  <c r="D421" i="22"/>
  <c r="D417" i="22"/>
  <c r="D413" i="22"/>
  <c r="D409" i="22"/>
  <c r="D371" i="22"/>
  <c r="D370" i="22"/>
  <c r="D369" i="22"/>
  <c r="D356" i="22"/>
  <c r="D355" i="22"/>
  <c r="D352" i="22"/>
  <c r="D351" i="22"/>
  <c r="D348" i="22"/>
  <c r="D347" i="22"/>
  <c r="D344" i="22"/>
  <c r="D343" i="22"/>
  <c r="D340" i="22"/>
  <c r="D339" i="22"/>
  <c r="D336" i="22"/>
  <c r="D335" i="22"/>
  <c r="D332" i="22"/>
  <c r="D331" i="22"/>
  <c r="D319" i="22"/>
  <c r="D318" i="22"/>
  <c r="D311" i="22"/>
  <c r="D310" i="22"/>
  <c r="D303" i="22"/>
  <c r="D302" i="22"/>
  <c r="D295" i="22"/>
  <c r="D294" i="22"/>
  <c r="D315" i="22"/>
  <c r="D314" i="22"/>
  <c r="D307" i="22"/>
  <c r="D306" i="22"/>
  <c r="D299" i="22"/>
  <c r="D298" i="22"/>
  <c r="D280" i="22"/>
  <c r="D279" i="22"/>
  <c r="D276" i="22"/>
  <c r="D275" i="22"/>
  <c r="D272" i="22"/>
  <c r="D271" i="22"/>
  <c r="D268" i="22"/>
  <c r="D267" i="22"/>
  <c r="D264" i="22"/>
  <c r="D263" i="22"/>
  <c r="D260" i="22"/>
  <c r="D259" i="22"/>
  <c r="D256" i="22"/>
  <c r="D257" i="22"/>
  <c r="D243" i="22"/>
  <c r="D242" i="22"/>
  <c r="D235" i="22"/>
  <c r="D234" i="22"/>
  <c r="D227" i="22"/>
  <c r="D226" i="22"/>
  <c r="D219" i="22"/>
  <c r="D218" i="22"/>
  <c r="D181" i="22"/>
  <c r="D180" i="22"/>
  <c r="D205" i="22"/>
  <c r="D201" i="22"/>
  <c r="D197" i="22"/>
  <c r="D193" i="22"/>
  <c r="D189" i="22"/>
  <c r="D185" i="22"/>
  <c r="D184"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65" i="22"/>
  <c r="D37" i="22"/>
  <c r="D36" i="22"/>
  <c r="D29" i="22"/>
  <c r="D28" i="22"/>
  <c r="D52" i="22"/>
  <c r="D51" i="22"/>
  <c r="D48" i="22"/>
  <c r="D47" i="22"/>
  <c r="D44" i="22"/>
  <c r="D43" i="22"/>
  <c r="D729" i="14"/>
  <c r="D728" i="14"/>
  <c r="D721" i="14"/>
  <c r="D720" i="14"/>
  <c r="D713" i="14"/>
  <c r="D712"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36" i="14"/>
  <c r="D635" i="14"/>
  <c r="D623" i="14"/>
  <c r="D622" i="14"/>
  <c r="D615" i="14"/>
  <c r="D614" i="14"/>
  <c r="D607" i="14"/>
  <c r="D606" i="14"/>
  <c r="D599" i="14"/>
  <c r="D598" i="14"/>
  <c r="D585" i="14"/>
  <c r="D581" i="14"/>
  <c r="D577" i="14"/>
  <c r="D573" i="14"/>
  <c r="D569" i="14"/>
  <c r="D565" i="14"/>
  <c r="D561" i="14"/>
  <c r="D560" i="14"/>
  <c r="D547" i="14"/>
  <c r="D546" i="14"/>
  <c r="D539" i="14"/>
  <c r="D538" i="14"/>
  <c r="D531" i="14"/>
  <c r="D530" i="14"/>
  <c r="D523" i="14"/>
  <c r="D522" i="14"/>
  <c r="D485" i="14"/>
  <c r="D484" i="14"/>
  <c r="D508" i="14"/>
  <c r="D507" i="14"/>
  <c r="D504" i="14"/>
  <c r="D503" i="14"/>
  <c r="D500" i="14"/>
  <c r="D499" i="14"/>
  <c r="D496" i="14"/>
  <c r="D495" i="14"/>
  <c r="D492" i="14"/>
  <c r="D491" i="14"/>
  <c r="D488" i="14"/>
  <c r="D471" i="14"/>
  <c r="D470" i="14"/>
  <c r="D463" i="14"/>
  <c r="D462" i="14"/>
  <c r="D455" i="14"/>
  <c r="D454" i="14"/>
  <c r="D447" i="14"/>
  <c r="D446" i="14"/>
  <c r="D467" i="14"/>
  <c r="D466" i="14"/>
  <c r="D459" i="14"/>
  <c r="D458" i="14"/>
  <c r="D451" i="14"/>
  <c r="D450" i="14"/>
  <c r="D433" i="14"/>
  <c r="D429" i="14"/>
  <c r="D425" i="14"/>
  <c r="D421" i="14"/>
  <c r="D417" i="14"/>
  <c r="D412" i="14"/>
  <c r="D411" i="14"/>
  <c r="D409" i="14"/>
  <c r="D408" i="14"/>
  <c r="D407"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31"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42" i="14"/>
  <c r="D241" i="14"/>
  <c r="D238" i="14"/>
  <c r="D237" i="14"/>
  <c r="D227" i="14"/>
  <c r="D226" i="14"/>
  <c r="D219" i="14"/>
  <c r="D218" i="14"/>
  <c r="D230" i="14"/>
  <c r="D223" i="14"/>
  <c r="D222" i="14"/>
  <c r="D205" i="14"/>
  <c r="D204" i="14"/>
  <c r="D197" i="14"/>
  <c r="D196" i="14"/>
  <c r="D189" i="14"/>
  <c r="D188" i="14"/>
  <c r="D181" i="14"/>
  <c r="D180" i="14"/>
  <c r="D166" i="14"/>
  <c r="D162" i="14"/>
  <c r="D158" i="14"/>
  <c r="D154" i="14"/>
  <c r="D150" i="14"/>
  <c r="D146" i="14"/>
  <c r="D142" i="14"/>
  <c r="D129" i="14"/>
  <c r="D125" i="14"/>
  <c r="D121" i="14"/>
  <c r="D117" i="14"/>
  <c r="D113" i="14"/>
  <c r="D109" i="14"/>
  <c r="D104" i="14"/>
  <c r="D90" i="14"/>
  <c r="D89" i="14"/>
  <c r="D86" i="14"/>
  <c r="D85" i="14"/>
  <c r="D82" i="14"/>
  <c r="D81" i="14"/>
  <c r="D78" i="14"/>
  <c r="D77" i="14"/>
  <c r="D74" i="14"/>
  <c r="D73" i="14"/>
  <c r="D70" i="14"/>
  <c r="D69" i="14"/>
  <c r="D66" i="14"/>
  <c r="D65" i="14"/>
  <c r="D29" i="14"/>
  <c r="D28"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l="1"/>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K514" i="21"/>
  <c r="Q22" i="9" a="1"/>
  <c r="E23" i="9" a="1"/>
  <c r="K1084" i="21"/>
  <c r="E25" i="9" a="1"/>
  <c r="X61" i="9" a="1"/>
  <c r="AP22" i="9" a="1"/>
  <c r="AW61" i="9" a="1"/>
  <c r="AA25" i="9" a="1"/>
  <c r="AT23" i="9" a="1"/>
  <c r="K514" i="14"/>
  <c r="U23" i="9" a="1"/>
  <c r="AZ26" i="9" a="1"/>
  <c r="BI20" i="9" a="1"/>
  <c r="P25" i="9" a="1"/>
  <c r="AB23" i="9" a="1"/>
  <c r="BQ26" i="9" a="1"/>
  <c r="AN21" i="9" a="1"/>
  <c r="AT22" i="9" a="1"/>
  <c r="AQ26" i="9" a="1"/>
  <c r="K1692" i="22"/>
  <c r="AF26" i="9" a="1"/>
  <c r="X21" i="9" a="1"/>
  <c r="CO26" i="9" a="1"/>
  <c r="BH20" i="9" a="1"/>
  <c r="AG21" i="9" a="1"/>
  <c r="K96" i="22"/>
  <c r="H20" i="9" a="1"/>
  <c r="AI20" i="9" a="1"/>
  <c r="H61" i="9" a="1"/>
  <c r="AI22" i="9" a="1"/>
  <c r="BN24" i="9" a="1"/>
  <c r="K134" i="18"/>
  <c r="AO23" i="9" a="1"/>
  <c r="BL26" i="9" a="1"/>
  <c r="BW25" i="9" a="1"/>
  <c r="BQ20" i="9" a="1"/>
  <c r="CG22" i="9" a="1"/>
  <c r="BM22" i="9" a="1"/>
  <c r="AD61" i="9" a="1"/>
  <c r="BA21" i="9" a="1"/>
  <c r="P21" i="9" a="1"/>
  <c r="N20" i="9" a="1"/>
  <c r="AU61" i="9" a="1"/>
  <c r="CI20" i="9" a="1"/>
  <c r="BF22" i="9" a="1"/>
  <c r="L61" i="9" a="1"/>
  <c r="J20" i="9" a="1"/>
  <c r="I61" i="9" a="1"/>
  <c r="BH21" i="9" a="1"/>
  <c r="K1540" i="21"/>
  <c r="CN20" i="9" a="1"/>
  <c r="Q24" i="9" a="1"/>
  <c r="K96" i="15"/>
  <c r="F22" i="9" a="1"/>
  <c r="BT25" i="9" a="1"/>
  <c r="K172" i="14"/>
  <c r="CA22" i="9" a="1"/>
  <c r="G24" i="9" a="1"/>
  <c r="BJ26" i="9" a="1"/>
  <c r="K134" i="5"/>
  <c r="V22" i="9" a="1"/>
  <c r="K1274" i="22"/>
  <c r="AB24" i="9" a="1"/>
  <c r="BE20" i="9" a="1"/>
  <c r="AJ22" i="9" a="1"/>
  <c r="K248" i="21"/>
  <c r="K476" i="21"/>
  <c r="BE23" i="9" a="1"/>
  <c r="K856" i="21"/>
  <c r="AJ21" i="9" a="1"/>
  <c r="AS24" i="9" a="1"/>
  <c r="BU21" i="9" a="1"/>
  <c r="AR23" i="9" a="1"/>
  <c r="BD21" i="9" a="1"/>
  <c r="F24" i="9" a="1"/>
  <c r="BC20" i="9" a="1"/>
  <c r="CJ20" i="9" a="1"/>
  <c r="BQ23" i="9" a="1"/>
  <c r="W21" i="9" a="1"/>
  <c r="BK24" i="9" a="1"/>
  <c r="T26" i="9" a="1"/>
  <c r="K780" i="21"/>
  <c r="BX22" i="9" a="1"/>
  <c r="G26" i="9" a="1"/>
  <c r="P20" i="9" a="1"/>
  <c r="AX26" i="9" a="1"/>
  <c r="CR20" i="9" a="1"/>
  <c r="BB26" i="9" a="1"/>
  <c r="CR21" i="9" a="1"/>
  <c r="O20" i="9" a="1"/>
  <c r="AS26" i="9" a="1"/>
  <c r="G20" i="9" a="1"/>
  <c r="AK20" i="9" a="1"/>
  <c r="AA26" i="9" a="1"/>
  <c r="K248" i="22"/>
  <c r="BY21" i="9" a="1"/>
  <c r="BD24" i="9" a="1"/>
  <c r="BJ21" i="9" a="1"/>
  <c r="K1046" i="22"/>
  <c r="BV24" i="9" a="1"/>
  <c r="Q26" i="9" a="1"/>
  <c r="N61" i="9" a="1"/>
  <c r="K818" i="22"/>
  <c r="BA22" i="9" a="1"/>
  <c r="AM26" i="9" a="1"/>
  <c r="K1730" i="22"/>
  <c r="K666" i="21"/>
  <c r="K134" i="22"/>
  <c r="CI26" i="9" a="1"/>
  <c r="BX21" i="9" a="1"/>
  <c r="CN25" i="9" a="1"/>
  <c r="AX24" i="9" a="1"/>
  <c r="AG23" i="9" a="1"/>
  <c r="CA24" i="9" a="1"/>
  <c r="BP20" i="9" a="1"/>
  <c r="BP24" i="9" a="1"/>
  <c r="AT24" i="9" a="1"/>
  <c r="L26" i="9" a="1"/>
  <c r="O61" i="9" a="1"/>
  <c r="K1578" i="22"/>
  <c r="AO26" i="9" a="1"/>
  <c r="I21" i="9" a="1"/>
  <c r="AH26" i="9" a="1"/>
  <c r="BU20" i="9" a="1"/>
  <c r="BO26" i="9" a="1"/>
  <c r="AS21" i="9" a="1"/>
  <c r="K172" i="18"/>
  <c r="CD23" i="9" a="1"/>
  <c r="BI23" i="9" a="1"/>
  <c r="CE25" i="9" a="1"/>
  <c r="BC25" i="9" a="1"/>
  <c r="AK23" i="9" a="1"/>
  <c r="N22" i="9" a="1"/>
  <c r="K58" i="14"/>
  <c r="E24" i="9" a="1"/>
  <c r="K26" i="9" a="1"/>
  <c r="CN23" i="9" a="1"/>
  <c r="BY26" i="9" a="1"/>
  <c r="BH24" i="9" a="1"/>
  <c r="K1236" i="21"/>
  <c r="J23" i="9" a="1"/>
  <c r="CH26" i="9" a="1"/>
  <c r="Y20" i="9" a="1"/>
  <c r="K96" i="5"/>
  <c r="BZ26" i="9" a="1"/>
  <c r="K590" i="22"/>
  <c r="AH23" i="9" a="1"/>
  <c r="CG26" i="9" a="1"/>
  <c r="AS20" i="9" a="1"/>
  <c r="CR26" i="9" a="1"/>
  <c r="AV20" i="9" a="1"/>
  <c r="F26" i="9" a="1"/>
  <c r="AT21" i="9" a="1"/>
  <c r="K1388" i="22"/>
  <c r="CM21" i="9" a="1"/>
  <c r="CC22" i="9" a="1"/>
  <c r="CI21" i="9" a="1"/>
  <c r="BH25" i="9" a="1"/>
  <c r="BN25" i="9" a="1"/>
  <c r="BZ22" i="9" a="1"/>
  <c r="AQ24" i="9" a="1"/>
  <c r="K20" i="13"/>
  <c r="BY23" i="9" a="1"/>
  <c r="K1616" i="21"/>
  <c r="AZ25" i="9" a="1"/>
  <c r="K1084" i="22"/>
  <c r="BV25" i="9" a="1"/>
  <c r="CO25" i="9" a="1"/>
  <c r="BA26" i="9" a="1"/>
  <c r="AK24" i="9" a="1"/>
  <c r="U26" i="9" a="1"/>
  <c r="CP20" i="9" a="1"/>
  <c r="BE25" i="9" a="1"/>
  <c r="K324" i="22"/>
  <c r="BP22" i="9" a="1"/>
  <c r="BL20" i="9" a="1"/>
  <c r="BD25" i="9" a="1"/>
  <c r="BH26" i="9" a="1"/>
  <c r="K552" i="14"/>
  <c r="AM20" i="9" a="1"/>
  <c r="CE21" i="9" a="1"/>
  <c r="W23" i="9" a="1"/>
  <c r="BW24" i="9" a="1"/>
  <c r="AC61" i="9" a="1"/>
  <c r="AB20" i="9" a="1"/>
  <c r="BK22" i="9" a="1"/>
  <c r="AL24" i="9" a="1"/>
  <c r="M22" i="9" a="1"/>
  <c r="CD21" i="9" a="1"/>
  <c r="K666" i="22"/>
  <c r="AP26" i="9" a="1"/>
  <c r="K438" i="21"/>
  <c r="BQ25" i="9" a="1"/>
  <c r="AN26" i="9" a="1"/>
  <c r="K666" i="14"/>
  <c r="AW26" i="9" a="1"/>
  <c r="CH21" i="9" a="1"/>
  <c r="BK26" i="9" a="1"/>
  <c r="AZ20" i="9" a="1"/>
  <c r="BS20" i="9" a="1"/>
  <c r="BT23" i="9" a="1"/>
  <c r="CM20" i="9" a="1"/>
  <c r="K61" i="9" a="1"/>
  <c r="T23" i="9" a="1"/>
  <c r="CL23" i="9" a="1"/>
  <c r="AC20" i="9" a="1"/>
  <c r="AB25" i="9" a="1"/>
  <c r="N26" i="9" a="1"/>
  <c r="AI21" i="9" a="1"/>
  <c r="AJ23" i="9" a="1"/>
  <c r="K362" i="14"/>
  <c r="BM25" i="9" a="1"/>
  <c r="AH20" i="9" a="1"/>
  <c r="CH23" i="9" a="1"/>
  <c r="BV21" i="9" a="1"/>
  <c r="BF20" i="9" a="1"/>
  <c r="AP25" i="9" a="1"/>
  <c r="Z24" i="9" a="1"/>
  <c r="K894" i="22"/>
  <c r="AB22" i="9" a="1"/>
  <c r="CH22" i="9" a="1"/>
  <c r="BU23" i="9" a="1"/>
  <c r="V23" i="9" a="1"/>
  <c r="Q25" i="9" a="1"/>
  <c r="CI25" i="9" a="1"/>
  <c r="AV22" i="9" a="1"/>
  <c r="AI24" i="9" a="1"/>
  <c r="AJ25" i="9" a="1"/>
  <c r="AT61" i="9" a="1"/>
  <c r="BB21" i="9" a="1"/>
  <c r="S24" i="9" a="1"/>
  <c r="S22" i="9" a="1"/>
  <c r="M61" i="9" a="1"/>
  <c r="BC26" i="9" a="1"/>
  <c r="AK61" i="9" a="1"/>
  <c r="H21" i="9" a="1"/>
  <c r="CA23" i="9" a="1"/>
  <c r="CJ21" i="9" a="1"/>
  <c r="BP26" i="9" a="1"/>
  <c r="BL21" i="9" a="1"/>
  <c r="BJ23" i="9" a="1"/>
  <c r="K856" i="22"/>
  <c r="CC20" i="9" a="1"/>
  <c r="L23" i="9" a="1"/>
  <c r="K324" i="15"/>
  <c r="H24" i="9" a="1"/>
  <c r="BM20" i="9" a="1"/>
  <c r="AH21" i="9" a="1"/>
  <c r="N23" i="9" a="1"/>
  <c r="CI22" i="9" a="1"/>
  <c r="K1502" i="22"/>
  <c r="AV24" i="9" a="1"/>
  <c r="BN26" i="9" a="1"/>
  <c r="AU23" i="9" a="1"/>
  <c r="K210" i="14"/>
  <c r="BB24" i="9" a="1"/>
  <c r="K1046" i="21"/>
  <c r="J24" i="9" a="1"/>
  <c r="O25" i="9" a="1"/>
  <c r="P24" i="9" a="1"/>
  <c r="T20" i="9" a="1"/>
  <c r="CR24" i="9" a="1"/>
  <c r="AO61" i="9" a="1"/>
  <c r="AS25" i="9" a="1"/>
  <c r="K438" i="14"/>
  <c r="BC23" i="9" a="1"/>
  <c r="BA23" i="9" a="1"/>
  <c r="K1502" i="21"/>
  <c r="R20" i="9" a="1"/>
  <c r="BI26" i="9" a="1"/>
  <c r="CK20" i="9" a="1"/>
  <c r="BC22" i="9" a="1"/>
  <c r="BS26" i="9" a="1"/>
  <c r="BQ21" i="9" a="1"/>
  <c r="BB23" i="9" a="1"/>
  <c r="BZ20" i="9" a="1"/>
  <c r="CK25" i="9" a="1"/>
  <c r="K476" i="14"/>
  <c r="BA25" i="9" a="1"/>
  <c r="AI26" i="9" a="1"/>
  <c r="AE61" i="9" a="1"/>
  <c r="K20" i="22"/>
  <c r="AE20" i="9" a="1"/>
  <c r="L22" i="9" a="1"/>
  <c r="CP26" i="9" a="1"/>
  <c r="AM24" i="9" a="1"/>
  <c r="AG25" i="9" a="1"/>
  <c r="AE24" i="9" a="1"/>
  <c r="K1122" i="22"/>
  <c r="V24" i="9" a="1"/>
  <c r="K1654" i="22"/>
  <c r="K400" i="14"/>
  <c r="H22" i="9" a="1"/>
  <c r="J26" i="9" a="1"/>
  <c r="CP21" i="9" a="1"/>
  <c r="CM23" i="9" a="1"/>
  <c r="M21" i="9" a="1"/>
  <c r="AD22" i="9" a="1"/>
  <c r="BO20" i="9" a="1"/>
  <c r="CQ25" i="9" a="1"/>
  <c r="BY20" i="9" a="1"/>
  <c r="BK21" i="9" a="1"/>
  <c r="BI24" i="9" a="1"/>
  <c r="AR20" i="9" a="1"/>
  <c r="L25" i="9" a="1"/>
  <c r="O21" i="9" a="1"/>
  <c r="K1236" i="22"/>
  <c r="BF23" i="9" a="1"/>
  <c r="CO23" i="9" a="1"/>
  <c r="BU26" i="9" a="1"/>
  <c r="Y21" i="9" a="1"/>
  <c r="E22" i="9" a="1"/>
  <c r="AD21" i="9" a="1"/>
  <c r="H23" i="9" a="1"/>
  <c r="BR21" i="9" a="1"/>
  <c r="BL24" i="9" a="1"/>
  <c r="CM26" i="9" a="1"/>
  <c r="AZ23" i="9" a="1"/>
  <c r="CO20" i="9" a="1"/>
  <c r="CJ24" i="9" a="1"/>
  <c r="CL21" i="9" a="1"/>
  <c r="K552" i="21"/>
  <c r="AL25" i="9" a="1"/>
  <c r="BQ24" i="9" a="1"/>
  <c r="S61" i="9" a="1"/>
  <c r="AL20" i="9" a="1"/>
  <c r="AS61" i="9" a="1"/>
  <c r="K58" i="15"/>
  <c r="K96" i="21"/>
  <c r="K58" i="18"/>
  <c r="BF25" i="9" a="1"/>
  <c r="AF21" i="9" a="1"/>
  <c r="AS23" i="9" a="1"/>
  <c r="X23" i="9" a="1"/>
  <c r="U25" i="9" a="1"/>
  <c r="BS23" i="9" a="1"/>
  <c r="W26" i="9" a="1"/>
  <c r="CO21" i="9" a="1"/>
  <c r="AO22" i="9" a="1"/>
  <c r="K1806" i="22"/>
  <c r="CB23" i="9" a="1"/>
  <c r="L20" i="9" a="1"/>
  <c r="AW24" i="9" a="1"/>
  <c r="BE21" i="9" a="1"/>
  <c r="BX20" i="9" a="1"/>
  <c r="I25" i="9" a="1"/>
  <c r="F21" i="9" a="1"/>
  <c r="S23" i="9" a="1"/>
  <c r="AV61" i="9" a="1"/>
  <c r="CK22" i="9" a="1"/>
  <c r="AN24" i="9" a="1"/>
  <c r="R23" i="9" a="1"/>
  <c r="I26" i="9" a="1"/>
  <c r="BO25" i="9" a="1"/>
  <c r="AU26" i="9" a="1"/>
  <c r="BE22" i="9" a="1"/>
  <c r="CK23" i="9" a="1"/>
  <c r="CE22" i="9" a="1"/>
  <c r="AN22" i="9" a="1"/>
  <c r="CJ25" i="9" a="1"/>
  <c r="BD23" i="9" a="1"/>
  <c r="S25" i="9" a="1"/>
  <c r="I20" i="9" a="1"/>
  <c r="X22" i="9" a="1"/>
  <c r="X26" i="9" a="1"/>
  <c r="CI24" i="9" a="1"/>
  <c r="AB61" i="9" a="1"/>
  <c r="CP22" i="9" a="1"/>
  <c r="U61" i="9" a="1"/>
  <c r="BK23" i="9" a="1"/>
  <c r="K324" i="14"/>
  <c r="AV23" i="9" a="1"/>
  <c r="AY24" i="9" a="1"/>
  <c r="AX23" i="9" a="1"/>
  <c r="AH22" i="9" a="1"/>
  <c r="AN20" i="9" a="1"/>
  <c r="AG24" i="9" a="1"/>
  <c r="K1160" i="21"/>
  <c r="M23" i="9" a="1"/>
  <c r="K552" i="22"/>
  <c r="CM24" i="9" a="1"/>
  <c r="BT24" i="9" a="1"/>
  <c r="N21" i="9" a="1"/>
  <c r="BM21" i="9" a="1"/>
  <c r="AD26" i="9" a="1"/>
  <c r="AV21" i="9" a="1"/>
  <c r="AM25" i="9" a="1"/>
  <c r="N24" i="9" a="1"/>
  <c r="BF21" i="9" a="1"/>
  <c r="AQ20" i="9" a="1"/>
  <c r="CD25" i="9" a="1"/>
  <c r="CE20" i="9" a="1"/>
  <c r="R21" i="9" a="1"/>
  <c r="BI21" i="9" a="1"/>
  <c r="Z22" i="9" a="1"/>
  <c r="N25" i="9" a="1"/>
  <c r="AL21" i="9" a="1"/>
  <c r="W22" i="9" a="1"/>
  <c r="G22" i="9" a="1"/>
  <c r="Q61" i="9" a="1"/>
  <c r="W25" i="9" a="1"/>
  <c r="BS22" i="9" a="1"/>
  <c r="AF25" i="9" a="1"/>
  <c r="K1768" i="22"/>
  <c r="S20" i="9" a="1"/>
  <c r="K590" i="21"/>
  <c r="K96" i="18"/>
  <c r="K58" i="22"/>
  <c r="AF61" i="9" a="1"/>
  <c r="CH25" i="9" a="1"/>
  <c r="BP21" i="9" a="1"/>
  <c r="Q20" i="9" a="1"/>
  <c r="K286" i="14"/>
  <c r="H26" i="9" a="1"/>
  <c r="Y22" i="9" a="1"/>
  <c r="CL22" i="9" a="1"/>
  <c r="AC21" i="9" a="1"/>
  <c r="CG24" i="9" a="1"/>
  <c r="BT26" i="9" a="1"/>
  <c r="BT21" i="9" a="1"/>
  <c r="CF24" i="9" a="1"/>
  <c r="BJ20" i="9" a="1"/>
  <c r="CC23" i="9" a="1"/>
  <c r="AO20" i="9" a="1"/>
  <c r="BO24" i="9" a="1"/>
  <c r="BX26" i="9" a="1"/>
  <c r="G25" i="9" a="1"/>
  <c r="K58" i="13"/>
  <c r="K21" i="9" a="1"/>
  <c r="AM21" i="9" a="1"/>
  <c r="AQ21" i="9" a="1"/>
  <c r="K1844" i="22"/>
  <c r="E26" i="9" a="1"/>
  <c r="CO22" i="9" a="1"/>
  <c r="G23" i="9" a="1"/>
  <c r="K134" i="14"/>
  <c r="AK25" i="9" a="1"/>
  <c r="K1350" i="21"/>
  <c r="J22" i="9" a="1"/>
  <c r="K248" i="14"/>
  <c r="AQ25" i="9" a="1"/>
  <c r="J25" i="9" a="1"/>
  <c r="K1654" i="21"/>
  <c r="BN20" i="9" a="1"/>
  <c r="K970" i="22"/>
  <c r="BL22" i="9" a="1"/>
  <c r="BV26" i="9" a="1"/>
  <c r="BG20" i="9" a="1"/>
  <c r="CC25" i="9" a="1"/>
  <c r="BD26" i="9" a="1"/>
  <c r="AU21" i="9" a="1"/>
  <c r="AG26" i="9" a="1"/>
  <c r="AY20" i="9" a="1"/>
  <c r="AE26" i="9" a="1"/>
  <c r="K438" i="22"/>
  <c r="BS21" i="9" a="1"/>
  <c r="K58" i="21"/>
  <c r="CG25" i="9" a="1"/>
  <c r="CR25" i="9" a="1"/>
  <c r="AT26" i="9" a="1"/>
  <c r="BQ22" i="9" a="1"/>
  <c r="Y23" i="9" a="1"/>
  <c r="CB21" i="9" a="1"/>
  <c r="BZ25" i="9" a="1"/>
  <c r="W61" i="9" a="1"/>
  <c r="AF22" i="9" a="1"/>
  <c r="K1426" i="22"/>
  <c r="T25" i="9" a="1"/>
  <c r="AJ24" i="9" a="1"/>
  <c r="Q21" i="9" a="1"/>
  <c r="S21" i="9" a="1"/>
  <c r="K1350" i="22"/>
  <c r="AF20" i="9" a="1"/>
  <c r="K1160" i="22"/>
  <c r="K1122" i="21"/>
  <c r="AE25" i="9" a="1"/>
  <c r="Y24" i="9" a="1"/>
  <c r="Y61" i="9" a="1"/>
  <c r="AF23" i="9" a="1"/>
  <c r="AA61" i="9" a="1"/>
  <c r="BY25" i="9" a="1"/>
  <c r="BF24" i="9" a="1"/>
  <c r="CJ23" i="9" a="1"/>
  <c r="BB25" i="9" a="1"/>
  <c r="CP25" i="9" a="1"/>
  <c r="T22" i="9" a="1"/>
  <c r="BL23" i="9" a="1"/>
  <c r="BR24" i="9" a="1"/>
  <c r="BR23" i="9" a="1"/>
  <c r="O23" i="9" a="1"/>
  <c r="BB22" i="9" a="1"/>
  <c r="BT22" i="9" a="1"/>
  <c r="Y25" i="9" a="1"/>
  <c r="CM22" i="9" a="1"/>
  <c r="AF24" i="9" a="1"/>
  <c r="BZ23" i="9" a="1"/>
  <c r="AD20" i="9" a="1"/>
  <c r="K20" i="15"/>
  <c r="CL24" i="9" a="1"/>
  <c r="CI23" i="9" a="1"/>
  <c r="M20" i="9" a="1"/>
  <c r="AR25" i="9" a="1"/>
  <c r="CL26" i="9" a="1"/>
  <c r="M24" i="9" a="1"/>
  <c r="V26" i="9" a="1"/>
  <c r="AE22" i="9" a="1"/>
  <c r="K970" i="21"/>
  <c r="CF21" i="9" a="1"/>
  <c r="BI25" i="9" a="1"/>
  <c r="AL23" i="9" a="1"/>
  <c r="CA21" i="9" a="1"/>
  <c r="K1312" i="21"/>
  <c r="AN25" i="9" a="1"/>
  <c r="L24" i="9" a="1"/>
  <c r="CE23" i="9" a="1"/>
  <c r="BY22" i="9" a="1"/>
  <c r="AD25" i="9" a="1"/>
  <c r="R22" i="9" a="1"/>
  <c r="AT25" i="9" a="1"/>
  <c r="K20" i="5"/>
  <c r="K590" i="14"/>
  <c r="AQ23" i="9" a="1"/>
  <c r="AY23" i="9" a="1"/>
  <c r="BZ24" i="9" a="1"/>
  <c r="F25" i="9" a="1"/>
  <c r="AY22" i="9" a="1"/>
  <c r="BW22" i="9" a="1"/>
  <c r="I22" i="9" a="1"/>
  <c r="BU24" i="9" a="1"/>
  <c r="P22" i="9" a="1"/>
  <c r="AR21" i="9" a="1"/>
  <c r="AY25" i="9" a="1"/>
  <c r="CK26" i="9" a="1"/>
  <c r="AX20" i="9" a="1"/>
  <c r="P23" i="9" a="1"/>
  <c r="CK24" i="9" a="1"/>
  <c r="U21" i="9" a="1"/>
  <c r="AI23" i="9" a="1"/>
  <c r="CC21" i="9" a="1"/>
  <c r="BC24" i="9" a="1"/>
  <c r="AW25" i="9" a="1"/>
  <c r="K210" i="21"/>
  <c r="CQ26" i="9" a="1"/>
  <c r="BE24" i="9" a="1"/>
  <c r="BX24" i="9" a="1"/>
  <c r="Z25" i="9" a="1"/>
  <c r="AZ21" i="9" a="1"/>
  <c r="AV25" i="9" a="1"/>
  <c r="G61" i="9" a="1"/>
  <c r="CH24" i="9" a="1"/>
  <c r="L21" i="9" a="1"/>
  <c r="AM22" i="9" a="1"/>
  <c r="CP24" i="9" a="1"/>
  <c r="BK20" i="9" a="1"/>
  <c r="W20" i="9" a="1"/>
  <c r="AC24" i="9" a="1"/>
  <c r="K628" i="22"/>
  <c r="BF26" i="9" a="1"/>
  <c r="K58" i="5"/>
  <c r="BW26" i="9" a="1"/>
  <c r="BJ25" i="9" a="1"/>
  <c r="AK22" i="9" a="1"/>
  <c r="K172" i="22"/>
  <c r="CD24" i="9" a="1"/>
  <c r="CC26" i="9" a="1"/>
  <c r="BV23" i="9" a="1"/>
  <c r="CE26" i="9" a="1"/>
  <c r="AA23" i="9" a="1"/>
  <c r="AQ61" i="9" a="1"/>
  <c r="AC22" i="9" a="1"/>
  <c r="K1616" i="22"/>
  <c r="K628" i="14"/>
  <c r="K210" i="5"/>
  <c r="M26" i="9" a="1"/>
  <c r="K1692" i="21"/>
  <c r="K476" i="22"/>
  <c r="R26" i="9" a="1"/>
  <c r="CK21" i="9" a="1"/>
  <c r="AL26" i="9" a="1"/>
  <c r="K172" i="15"/>
  <c r="AJ26" i="9" a="1"/>
  <c r="CA20" i="9" a="1"/>
  <c r="AA20" i="9" a="1"/>
  <c r="BR22" i="9" a="1"/>
  <c r="AY21" i="9" a="1"/>
  <c r="K932" i="22"/>
  <c r="BH22" i="9" a="1"/>
  <c r="BR25" i="9" a="1"/>
  <c r="BU22" i="9" a="1"/>
  <c r="AU20" i="9" a="1"/>
  <c r="BG24" i="9" a="1"/>
  <c r="BM26" i="9" a="1"/>
  <c r="CG23" i="9" a="1"/>
  <c r="U20" i="9" a="1"/>
  <c r="BX23" i="9" a="1"/>
  <c r="T61" i="9" a="1"/>
  <c r="AR26" i="9" a="1"/>
  <c r="X20" i="9" a="1"/>
  <c r="AA24" i="9" a="1"/>
  <c r="AU22" i="9" a="1"/>
  <c r="CN22" i="9" a="1"/>
  <c r="K1274" i="21"/>
  <c r="AJ20" i="9" a="1"/>
  <c r="H25" i="9" a="1"/>
  <c r="AM61" i="9" a="1"/>
  <c r="G21" i="9" a="1"/>
  <c r="K1388" i="21"/>
  <c r="BD20" i="9" a="1"/>
  <c r="K932" i="21"/>
  <c r="BV20" i="9" a="1"/>
  <c r="BT20" i="9" a="1"/>
  <c r="K20" i="14"/>
  <c r="BN23" i="9" a="1"/>
  <c r="BD22" i="9" a="1"/>
  <c r="AJ61" i="9" a="1"/>
  <c r="BM24" i="9" a="1"/>
  <c r="K1464" i="21"/>
  <c r="AC23" i="9" a="1"/>
  <c r="K400" i="21"/>
  <c r="O24" i="9" a="1"/>
  <c r="R25" i="9" a="1"/>
  <c r="K96" i="13"/>
  <c r="CQ22" i="9" a="1"/>
  <c r="CL25" i="9" a="1"/>
  <c r="BM23" i="9" a="1"/>
  <c r="BY24" i="9" a="1"/>
  <c r="CB24" i="9" a="1"/>
  <c r="BV22" i="9" a="1"/>
  <c r="F23" i="9" a="1"/>
  <c r="AG22" i="9" a="1"/>
  <c r="AL61" i="9" a="1"/>
  <c r="J21" i="9" a="1"/>
  <c r="K1008" i="22"/>
  <c r="CL20" i="9" a="1"/>
  <c r="K704" i="14"/>
  <c r="Q23" i="9" a="1"/>
  <c r="CQ24" i="9" a="1"/>
  <c r="CM25" i="9" a="1"/>
  <c r="AH24" i="9" a="1"/>
  <c r="Z23" i="9" a="1"/>
  <c r="K1198" i="22"/>
  <c r="CJ22" i="9" a="1"/>
  <c r="R24" i="9" a="1"/>
  <c r="AI61" i="9" a="1"/>
  <c r="K172" i="5"/>
  <c r="AA22" i="9" a="1"/>
  <c r="AD24" i="9" a="1"/>
  <c r="E21" i="9" a="1"/>
  <c r="AM23" i="9" a="1"/>
  <c r="AV26" i="9" a="1"/>
  <c r="BS25" i="9" a="1"/>
  <c r="CF26" i="9" a="1"/>
  <c r="AP23" i="9" a="1"/>
  <c r="K1008" i="21"/>
  <c r="I23" i="9" a="1"/>
  <c r="BC21" i="9" a="1"/>
  <c r="AE23" i="9" a="1"/>
  <c r="CB25" i="9" a="1"/>
  <c r="CO24" i="9" a="1"/>
  <c r="U22" i="9" a="1"/>
  <c r="BG23" i="9" a="1"/>
  <c r="AN23" i="9" a="1"/>
  <c r="X25" i="9" a="1"/>
  <c r="I24" i="9" a="1"/>
  <c r="K25" i="9" a="1"/>
  <c r="BU25" i="9" a="1"/>
  <c r="CC24" i="9" a="1"/>
  <c r="BN21" i="9" a="1"/>
  <c r="AI25" i="9" a="1"/>
  <c r="CF25" i="9" a="1"/>
  <c r="AK26" i="9" a="1"/>
  <c r="K1198" i="21"/>
  <c r="BO22" i="9" a="1"/>
  <c r="W24" i="9" a="1"/>
  <c r="Z61" i="9" a="1"/>
  <c r="K704" i="22"/>
  <c r="AH61" i="9" a="1"/>
  <c r="BG25" i="9" a="1"/>
  <c r="K1578" i="21"/>
  <c r="AK21" i="9" a="1"/>
  <c r="BI22" i="9" a="1"/>
  <c r="BR20" i="9" a="1"/>
  <c r="CB22" i="9" a="1"/>
  <c r="BN22" i="9" a="1"/>
  <c r="BL25" i="9" a="1"/>
  <c r="BJ24" i="9" a="1"/>
  <c r="CD26" i="9" a="1"/>
  <c r="K210" i="22"/>
  <c r="AQ22" i="9" a="1"/>
  <c r="T21" i="9" a="1"/>
  <c r="AO24" i="9" a="1"/>
  <c r="CD20" i="9" a="1"/>
  <c r="CD22" i="9" a="1"/>
  <c r="AD23" i="9" a="1"/>
  <c r="K248" i="15"/>
  <c r="AE21" i="9" a="1"/>
  <c r="AW22" i="9" a="1"/>
  <c r="AH25" i="9" a="1"/>
  <c r="K20" i="18"/>
  <c r="O22" i="9" a="1"/>
  <c r="CN24" i="9" a="1"/>
  <c r="T24" i="9" a="1"/>
  <c r="CP23" i="9" a="1"/>
  <c r="P61" i="9" a="1"/>
  <c r="BP25" i="9" a="1"/>
  <c r="CA25" i="9" a="1"/>
  <c r="M25" i="9" a="1"/>
  <c r="S26" i="9" a="1"/>
  <c r="V21" i="9" a="1"/>
  <c r="AL22" i="9" a="1"/>
  <c r="K742" i="22"/>
  <c r="K1426" i="21"/>
  <c r="K20" i="9" a="1"/>
  <c r="BG26" i="9" a="1"/>
  <c r="K362" i="21"/>
  <c r="BW20" i="9" a="1"/>
  <c r="K24" i="9" a="1"/>
  <c r="K286" i="15"/>
  <c r="CQ23" i="9" a="1"/>
  <c r="AO21" i="9" a="1"/>
  <c r="BO23" i="9" a="1"/>
  <c r="AW21" i="9" a="1"/>
  <c r="K210" i="15"/>
  <c r="CJ26" i="9" a="1"/>
  <c r="K628" i="21"/>
  <c r="AR24" i="9" a="1"/>
  <c r="CB26" i="9" a="1"/>
  <c r="AA21" i="9" a="1"/>
  <c r="BE26" i="9" a="1"/>
  <c r="K1540" i="22"/>
  <c r="CA26" i="9" a="1"/>
  <c r="AX21" i="9" a="1"/>
  <c r="AB21" i="9" a="1"/>
  <c r="AY26" i="9" a="1"/>
  <c r="CF20" i="9" a="1"/>
  <c r="AP20" i="9" a="1"/>
  <c r="K742" i="21"/>
  <c r="CG21" i="9" a="1"/>
  <c r="BH23" i="9" a="1"/>
  <c r="AR61" i="9" a="1"/>
  <c r="CQ21" i="9" a="1"/>
  <c r="R61" i="9" a="1"/>
  <c r="BB20" i="9" a="1"/>
  <c r="E61" i="9" a="1"/>
  <c r="BO21" i="9" a="1"/>
  <c r="BK25" i="9" a="1"/>
  <c r="E20" i="9" a="1"/>
  <c r="BP23" i="9" a="1"/>
  <c r="K514" i="22"/>
  <c r="AC25" i="9" a="1"/>
  <c r="CR23" i="9" a="1"/>
  <c r="CE24" i="9" a="1"/>
  <c r="Z26" i="9" a="1"/>
  <c r="K704" i="21"/>
  <c r="AZ22" i="9" a="1"/>
  <c r="P26" i="9" a="1"/>
  <c r="AS22" i="9" a="1"/>
  <c r="V25" i="9" a="1"/>
  <c r="K172" i="21"/>
  <c r="CF23" i="9" a="1"/>
  <c r="BG21" i="9" a="1"/>
  <c r="CQ20" i="9" a="1"/>
  <c r="CB20" i="9" a="1"/>
  <c r="BA20" i="9" a="1"/>
  <c r="F20" i="9" a="1"/>
  <c r="CF22" i="9" a="1"/>
  <c r="AO25" i="9" a="1"/>
  <c r="CR22" i="9" a="1"/>
  <c r="U24" i="9" a="1"/>
  <c r="AP24" i="9" a="1"/>
  <c r="K134" i="21"/>
  <c r="V20" i="9" a="1"/>
  <c r="BG22" i="9" a="1"/>
  <c r="BZ21" i="9" a="1"/>
  <c r="F61" i="9" a="1"/>
  <c r="BS24" i="9" a="1"/>
  <c r="O26" i="9" a="1"/>
  <c r="K22" i="9" a="1"/>
  <c r="Y26" i="9" a="1"/>
  <c r="K324" i="21"/>
  <c r="AP61" i="9" a="1"/>
  <c r="BA24" i="9" a="1"/>
  <c r="AT20" i="9" a="1"/>
  <c r="AC26" i="9" a="1"/>
  <c r="K134" i="15"/>
  <c r="CN21" i="9" a="1"/>
  <c r="BW23" i="9" a="1"/>
  <c r="AU25" i="9" a="1"/>
  <c r="X24" i="9" a="1"/>
  <c r="AG61" i="9" a="1"/>
  <c r="BX25" i="9" a="1"/>
  <c r="AW20" i="9" a="1"/>
  <c r="K894" i="21"/>
  <c r="CH20" i="9" a="1"/>
  <c r="BW21" i="9" a="1"/>
  <c r="K400" i="22"/>
  <c r="J61" i="9" a="1"/>
  <c r="K96" i="14"/>
  <c r="K23" i="9" a="1"/>
  <c r="V61" i="9" a="1"/>
  <c r="AG20" i="9" a="1"/>
  <c r="K818" i="21"/>
  <c r="K362" i="22"/>
  <c r="AB26" i="9" a="1"/>
  <c r="Z20" i="9" a="1"/>
  <c r="CN26" i="9" a="1"/>
  <c r="Z21" i="9" a="1"/>
  <c r="AZ24" i="9" a="1"/>
  <c r="AR22" i="9" a="1"/>
  <c r="K1312" i="22"/>
  <c r="K780" i="22"/>
  <c r="AX25" i="9" a="1"/>
  <c r="K286" i="22"/>
  <c r="K286" i="21"/>
  <c r="BR26" i="9" a="1"/>
  <c r="AN61" i="9" a="1"/>
  <c r="BJ22" i="9" a="1"/>
  <c r="AU24" i="9" a="1"/>
  <c r="K20" i="21"/>
  <c r="AW23" i="9" a="1"/>
  <c r="AX22" i="9" a="1"/>
  <c r="AP21" i="9" a="1"/>
  <c r="K1464" i="22"/>
  <c r="AP21" i="9" l="1"/>
  <c r="AX22" i="9"/>
  <c r="AW23" i="9"/>
  <c r="K14" i="21"/>
  <c r="AU24" i="9"/>
  <c r="BJ22" i="9"/>
  <c r="AN61" i="9"/>
  <c r="BR26" i="9"/>
  <c r="AX25" i="9"/>
  <c r="AR22" i="9"/>
  <c r="AZ24" i="9"/>
  <c r="Z21" i="9"/>
  <c r="CN26" i="9"/>
  <c r="Z20" i="9"/>
  <c r="AB26" i="9"/>
  <c r="AG20" i="9"/>
  <c r="V61" i="9"/>
  <c r="K23" i="9"/>
  <c r="J61" i="9"/>
  <c r="BW21" i="9"/>
  <c r="CH20" i="9"/>
  <c r="AW20" i="9"/>
  <c r="BX25" i="9"/>
  <c r="AG61" i="9"/>
  <c r="X24" i="9"/>
  <c r="AU25" i="9"/>
  <c r="BW23" i="9"/>
  <c r="CN21" i="9"/>
  <c r="AC26" i="9"/>
  <c r="AT20" i="9"/>
  <c r="BA24" i="9"/>
  <c r="AP61" i="9"/>
  <c r="Y26" i="9"/>
  <c r="K22" i="9"/>
  <c r="O26" i="9"/>
  <c r="BS24" i="9"/>
  <c r="F61" i="9"/>
  <c r="BZ21" i="9"/>
  <c r="BG22" i="9"/>
  <c r="V20" i="9"/>
  <c r="AP24" i="9"/>
  <c r="U24" i="9"/>
  <c r="CR22" i="9"/>
  <c r="AO25" i="9"/>
  <c r="CF22" i="9"/>
  <c r="F20" i="9"/>
  <c r="BA20" i="9"/>
  <c r="CB20" i="9"/>
  <c r="CQ20" i="9"/>
  <c r="BG21" i="9"/>
  <c r="CF23" i="9"/>
  <c r="V25" i="9"/>
  <c r="AS22" i="9"/>
  <c r="P26" i="9"/>
  <c r="AZ22" i="9"/>
  <c r="Z26" i="9"/>
  <c r="CE24" i="9"/>
  <c r="CR23" i="9"/>
  <c r="AC25" i="9"/>
  <c r="BP23" i="9"/>
  <c r="E20" i="9"/>
  <c r="BK25" i="9"/>
  <c r="BO21" i="9"/>
  <c r="E61" i="9"/>
  <c r="BB20" i="9"/>
  <c r="R61" i="9"/>
  <c r="CQ21" i="9"/>
  <c r="AR61" i="9"/>
  <c r="BH23" i="9"/>
  <c r="CG21" i="9"/>
  <c r="DC4" i="19" s="1"/>
  <c r="AP20" i="9"/>
  <c r="CF20" i="9"/>
  <c r="AY26" i="9"/>
  <c r="AB21" i="9"/>
  <c r="AX21" i="9"/>
  <c r="CA26" i="9"/>
  <c r="BE26" i="9"/>
  <c r="AA21" i="9"/>
  <c r="CB26" i="9"/>
  <c r="AR24" i="9"/>
  <c r="CJ26" i="9"/>
  <c r="AW21" i="9"/>
  <c r="BO23" i="9"/>
  <c r="AO21" i="9"/>
  <c r="CQ23" i="9"/>
  <c r="K24" i="9"/>
  <c r="BW20" i="9"/>
  <c r="BG26" i="9"/>
  <c r="K20" i="9"/>
  <c r="AL22" i="9"/>
  <c r="V21" i="9"/>
  <c r="S26" i="9"/>
  <c r="M25" i="9"/>
  <c r="CA25" i="9"/>
  <c r="BP25" i="9"/>
  <c r="P61" i="9"/>
  <c r="CP23" i="9"/>
  <c r="T24" i="9"/>
  <c r="CN24" i="9"/>
  <c r="O22" i="9"/>
  <c r="K14" i="18"/>
  <c r="AH25" i="9"/>
  <c r="AW22" i="9"/>
  <c r="AE21" i="9"/>
  <c r="AD23" i="9"/>
  <c r="CD22" i="9"/>
  <c r="CD20" i="9"/>
  <c r="AO24" i="9"/>
  <c r="T21" i="9"/>
  <c r="AQ22" i="9"/>
  <c r="CD26" i="9"/>
  <c r="BJ24" i="9"/>
  <c r="BL25" i="9"/>
  <c r="BN22" i="9"/>
  <c r="CB22" i="9"/>
  <c r="BR20" i="9"/>
  <c r="BI22" i="9"/>
  <c r="AK21" i="9"/>
  <c r="BG25" i="9"/>
  <c r="AH61" i="9"/>
  <c r="Z61" i="9"/>
  <c r="W24" i="9"/>
  <c r="BO22" i="9"/>
  <c r="AK26" i="9"/>
  <c r="CF25" i="9"/>
  <c r="AI25" i="9"/>
  <c r="BN21" i="9"/>
  <c r="CC24" i="9"/>
  <c r="BU25" i="9"/>
  <c r="K25" i="9"/>
  <c r="I24" i="9"/>
  <c r="X25" i="9"/>
  <c r="AN23" i="9"/>
  <c r="BG23" i="9"/>
  <c r="U22" i="9"/>
  <c r="CO24" i="9"/>
  <c r="CB25" i="9"/>
  <c r="AE23" i="9"/>
  <c r="BC21" i="9"/>
  <c r="I23" i="9"/>
  <c r="AP23" i="9"/>
  <c r="CF26" i="9"/>
  <c r="BS25" i="9"/>
  <c r="AV26" i="9"/>
  <c r="AM23" i="9"/>
  <c r="E21" i="9"/>
  <c r="AD24" i="9"/>
  <c r="AA22" i="9"/>
  <c r="AI61" i="9"/>
  <c r="R24" i="9"/>
  <c r="CJ22" i="9"/>
  <c r="Z23" i="9"/>
  <c r="AH24" i="9"/>
  <c r="CM25" i="9"/>
  <c r="CQ24" i="9"/>
  <c r="Q23" i="9"/>
  <c r="CL20" i="9"/>
  <c r="J21" i="9"/>
  <c r="AL61" i="9"/>
  <c r="AG22" i="9"/>
  <c r="F23" i="9"/>
  <c r="BV22" i="9"/>
  <c r="CB24" i="9"/>
  <c r="BY24" i="9"/>
  <c r="BM23" i="9"/>
  <c r="CL25" i="9"/>
  <c r="CQ22" i="9"/>
  <c r="R25" i="9"/>
  <c r="O24" i="9"/>
  <c r="AC23" i="9"/>
  <c r="BM24" i="9"/>
  <c r="AJ61" i="9"/>
  <c r="BD22" i="9"/>
  <c r="BN23" i="9"/>
  <c r="BT20" i="9"/>
  <c r="BV20" i="9"/>
  <c r="BD20" i="9"/>
  <c r="G21" i="9"/>
  <c r="AM61" i="9"/>
  <c r="H25" i="9"/>
  <c r="AJ20" i="9"/>
  <c r="CN22" i="9"/>
  <c r="AU22" i="9"/>
  <c r="AA24" i="9"/>
  <c r="X20" i="9"/>
  <c r="AR26" i="9"/>
  <c r="T61" i="9"/>
  <c r="BX23" i="9"/>
  <c r="U20" i="9"/>
  <c r="CG23" i="9"/>
  <c r="DC6" i="19" s="1"/>
  <c r="BM26" i="9"/>
  <c r="BG24" i="9"/>
  <c r="AU20" i="9"/>
  <c r="BU22" i="9"/>
  <c r="BR25" i="9"/>
  <c r="BH22" i="9"/>
  <c r="AY21" i="9"/>
  <c r="BR22" i="9"/>
  <c r="AA20" i="9"/>
  <c r="CA20" i="9"/>
  <c r="AJ26" i="9"/>
  <c r="AL26" i="9"/>
  <c r="CK21" i="9"/>
  <c r="R26" i="9"/>
  <c r="M26" i="9"/>
  <c r="AC22" i="9"/>
  <c r="AQ61" i="9"/>
  <c r="AA23" i="9"/>
  <c r="CE26" i="9"/>
  <c r="BV23" i="9"/>
  <c r="CC26" i="9"/>
  <c r="CD24" i="9"/>
  <c r="AK22" i="9"/>
  <c r="BJ25" i="9"/>
  <c r="BW26" i="9"/>
  <c r="BF26" i="9"/>
  <c r="AC24" i="9"/>
  <c r="W20" i="9"/>
  <c r="BK20" i="9"/>
  <c r="CP24" i="9"/>
  <c r="AM22" i="9"/>
  <c r="L21" i="9"/>
  <c r="CH24" i="9"/>
  <c r="G61" i="9"/>
  <c r="AV25" i="9"/>
  <c r="AZ21" i="9"/>
  <c r="Z25" i="9"/>
  <c r="BX24" i="9"/>
  <c r="BE24" i="9"/>
  <c r="CQ26" i="9"/>
  <c r="AW25" i="9"/>
  <c r="BC24" i="9"/>
  <c r="CC21" i="9"/>
  <c r="AI23" i="9"/>
  <c r="U21" i="9"/>
  <c r="CK24" i="9"/>
  <c r="P23" i="9"/>
  <c r="AX20" i="9"/>
  <c r="CK26" i="9"/>
  <c r="AY25" i="9"/>
  <c r="AR21" i="9"/>
  <c r="P22" i="9"/>
  <c r="BU24" i="9"/>
  <c r="I22" i="9"/>
  <c r="BW22" i="9"/>
  <c r="AY22" i="9"/>
  <c r="F25" i="9"/>
  <c r="BZ24" i="9"/>
  <c r="AY23" i="9"/>
  <c r="AQ23" i="9"/>
  <c r="K14" i="5"/>
  <c r="AT25" i="9"/>
  <c r="R22" i="9"/>
  <c r="AD25" i="9"/>
  <c r="BY22" i="9"/>
  <c r="CE23" i="9"/>
  <c r="L24" i="9"/>
  <c r="AN25" i="9"/>
  <c r="CA21" i="9"/>
  <c r="AL23" i="9"/>
  <c r="BI25" i="9"/>
  <c r="CF21" i="9"/>
  <c r="AE22" i="9"/>
  <c r="V26" i="9"/>
  <c r="M24" i="9"/>
  <c r="CL26" i="9"/>
  <c r="AR25" i="9"/>
  <c r="M20" i="9"/>
  <c r="CI23" i="9"/>
  <c r="CL24" i="9"/>
  <c r="K14" i="15"/>
  <c r="AD20" i="9"/>
  <c r="BZ23" i="9"/>
  <c r="AF24" i="9"/>
  <c r="CM22" i="9"/>
  <c r="Y25" i="9"/>
  <c r="BT22" i="9"/>
  <c r="BB22" i="9"/>
  <c r="O23" i="9"/>
  <c r="BR23" i="9"/>
  <c r="BR24" i="9"/>
  <c r="BL23" i="9"/>
  <c r="T22" i="9"/>
  <c r="CP25" i="9"/>
  <c r="BB25" i="9"/>
  <c r="CJ23" i="9"/>
  <c r="BF24" i="9"/>
  <c r="BY25" i="9"/>
  <c r="AA61" i="9"/>
  <c r="AF23" i="9"/>
  <c r="Y61" i="9"/>
  <c r="Y24" i="9"/>
  <c r="AE25" i="9"/>
  <c r="AF20" i="9"/>
  <c r="S21" i="9"/>
  <c r="Q21" i="9"/>
  <c r="AJ24" i="9"/>
  <c r="T25" i="9"/>
  <c r="AF22" i="9"/>
  <c r="W61" i="9"/>
  <c r="BZ25" i="9"/>
  <c r="CB21" i="9"/>
  <c r="Y23" i="9"/>
  <c r="BQ22" i="9"/>
  <c r="AT26" i="9"/>
  <c r="CR25" i="9"/>
  <c r="CG25" i="9"/>
  <c r="DC8" i="19" s="1"/>
  <c r="BS21" i="9"/>
  <c r="AE26" i="9"/>
  <c r="AY20" i="9"/>
  <c r="AG26" i="9"/>
  <c r="AU21" i="9"/>
  <c r="BD26" i="9"/>
  <c r="CC25" i="9"/>
  <c r="BG20" i="9"/>
  <c r="BV26" i="9"/>
  <c r="BL22" i="9"/>
  <c r="BN20" i="9"/>
  <c r="J25" i="9"/>
  <c r="AQ25" i="9"/>
  <c r="J22" i="9"/>
  <c r="AK25" i="9"/>
  <c r="G23" i="9"/>
  <c r="CO22" i="9"/>
  <c r="E26" i="9"/>
  <c r="AQ21" i="9"/>
  <c r="AM21" i="9"/>
  <c r="K21" i="9"/>
  <c r="G25" i="9"/>
  <c r="BX26" i="9"/>
  <c r="BO24" i="9"/>
  <c r="AO20" i="9"/>
  <c r="CC23" i="9"/>
  <c r="BJ20" i="9"/>
  <c r="CF24" i="9"/>
  <c r="BT21" i="9"/>
  <c r="BT26" i="9"/>
  <c r="CG24" i="9"/>
  <c r="DC7" i="19" s="1"/>
  <c r="AC21" i="9"/>
  <c r="CL22" i="9"/>
  <c r="Y22" i="9"/>
  <c r="H26" i="9"/>
  <c r="Q20" i="9"/>
  <c r="BP21" i="9"/>
  <c r="CH25" i="9"/>
  <c r="AF61" i="9"/>
  <c r="S20" i="9"/>
  <c r="AF25" i="9"/>
  <c r="BS22" i="9"/>
  <c r="W25" i="9"/>
  <c r="Q61" i="9"/>
  <c r="G22" i="9"/>
  <c r="W22" i="9"/>
  <c r="AL21" i="9"/>
  <c r="N25" i="9"/>
  <c r="Z22" i="9"/>
  <c r="BI21" i="9"/>
  <c r="R21" i="9"/>
  <c r="CE20" i="9"/>
  <c r="CD25" i="9"/>
  <c r="AQ20" i="9"/>
  <c r="BF21" i="9"/>
  <c r="N24" i="9"/>
  <c r="AM25" i="9"/>
  <c r="AV21" i="9"/>
  <c r="AD26" i="9"/>
  <c r="BM21" i="9"/>
  <c r="N21" i="9"/>
  <c r="BT24" i="9"/>
  <c r="CM24" i="9"/>
  <c r="M23" i="9"/>
  <c r="AG24" i="9"/>
  <c r="AN20" i="9"/>
  <c r="AH22" i="9"/>
  <c r="AX23" i="9"/>
  <c r="AY24" i="9"/>
  <c r="AV23" i="9"/>
  <c r="BK23" i="9"/>
  <c r="U61" i="9"/>
  <c r="CP22" i="9"/>
  <c r="AB61" i="9"/>
  <c r="CI24" i="9"/>
  <c r="X26" i="9"/>
  <c r="X22" i="9"/>
  <c r="I20" i="9"/>
  <c r="S25" i="9"/>
  <c r="BD23" i="9"/>
  <c r="CJ25" i="9"/>
  <c r="AN22" i="9"/>
  <c r="CE22" i="9"/>
  <c r="CK23" i="9"/>
  <c r="BE22" i="9"/>
  <c r="AU26" i="9"/>
  <c r="BO25" i="9"/>
  <c r="I26" i="9"/>
  <c r="R23" i="9"/>
  <c r="AN24" i="9"/>
  <c r="CK22" i="9"/>
  <c r="AV61" i="9"/>
  <c r="S23" i="9"/>
  <c r="F21" i="9"/>
  <c r="I25" i="9"/>
  <c r="BX20" i="9"/>
  <c r="BE21" i="9"/>
  <c r="AW24" i="9"/>
  <c r="L20" i="9"/>
  <c r="CB23" i="9"/>
  <c r="AO22" i="9"/>
  <c r="CO21" i="9"/>
  <c r="W26" i="9"/>
  <c r="BS23" i="9"/>
  <c r="U25" i="9"/>
  <c r="X23" i="9"/>
  <c r="AS23" i="9"/>
  <c r="AF21" i="9"/>
  <c r="BF25" i="9"/>
  <c r="AS61" i="9"/>
  <c r="AL20" i="9"/>
  <c r="S61" i="9"/>
  <c r="BQ24" i="9"/>
  <c r="AL25" i="9"/>
  <c r="CL21" i="9"/>
  <c r="CJ24" i="9"/>
  <c r="CO20" i="9"/>
  <c r="AZ23" i="9"/>
  <c r="CM26" i="9"/>
  <c r="BL24" i="9"/>
  <c r="BR21" i="9"/>
  <c r="H23" i="9"/>
  <c r="AD21" i="9"/>
  <c r="E22" i="9"/>
  <c r="Y21" i="9"/>
  <c r="BU26" i="9"/>
  <c r="CO23" i="9"/>
  <c r="BF23" i="9"/>
  <c r="O21" i="9"/>
  <c r="L25" i="9"/>
  <c r="AR20" i="9"/>
  <c r="BI24" i="9"/>
  <c r="BK21" i="9"/>
  <c r="BY20" i="9"/>
  <c r="CQ25" i="9"/>
  <c r="BO20" i="9"/>
  <c r="AD22" i="9"/>
  <c r="M21" i="9"/>
  <c r="CM23" i="9"/>
  <c r="CP21" i="9"/>
  <c r="J26" i="9"/>
  <c r="H22" i="9"/>
  <c r="V24" i="9"/>
  <c r="AE24" i="9"/>
  <c r="AG25" i="9"/>
  <c r="AM24" i="9"/>
  <c r="CP26" i="9"/>
  <c r="L22" i="9"/>
  <c r="AE20" i="9"/>
  <c r="K14" i="22"/>
  <c r="AE61" i="9"/>
  <c r="AI26" i="9"/>
  <c r="BA25" i="9"/>
  <c r="CK25" i="9"/>
  <c r="BZ20" i="9"/>
  <c r="BB23" i="9"/>
  <c r="BQ21" i="9"/>
  <c r="BS26" i="9"/>
  <c r="BC22" i="9"/>
  <c r="CK20" i="9"/>
  <c r="BI26" i="9"/>
  <c r="R20" i="9"/>
  <c r="BA23" i="9"/>
  <c r="BC23" i="9"/>
  <c r="AS25" i="9"/>
  <c r="AO61" i="9"/>
  <c r="CR24" i="9"/>
  <c r="T20" i="9"/>
  <c r="P24" i="9"/>
  <c r="O25" i="9"/>
  <c r="J24" i="9"/>
  <c r="BB24" i="9"/>
  <c r="AU23" i="9"/>
  <c r="BN26" i="9"/>
  <c r="AV24" i="9"/>
  <c r="CI22" i="9"/>
  <c r="N23" i="9"/>
  <c r="AH21" i="9"/>
  <c r="BM20" i="9"/>
  <c r="H24" i="9"/>
  <c r="L23" i="9"/>
  <c r="CC20" i="9"/>
  <c r="BJ23" i="9"/>
  <c r="BL21" i="9"/>
  <c r="BP26" i="9"/>
  <c r="CJ21" i="9"/>
  <c r="CA23" i="9"/>
  <c r="H21" i="9"/>
  <c r="AK61" i="9"/>
  <c r="BC26" i="9"/>
  <c r="M61" i="9"/>
  <c r="S22" i="9"/>
  <c r="S24" i="9"/>
  <c r="BB21" i="9"/>
  <c r="AT61" i="9"/>
  <c r="AJ25" i="9"/>
  <c r="AI24" i="9"/>
  <c r="AV22" i="9"/>
  <c r="CI25" i="9"/>
  <c r="Q25" i="9"/>
  <c r="V23" i="9"/>
  <c r="BU23" i="9"/>
  <c r="CH22" i="9"/>
  <c r="AB22" i="9"/>
  <c r="Z24" i="9"/>
  <c r="AP25" i="9"/>
  <c r="BF20" i="9"/>
  <c r="BV21" i="9"/>
  <c r="CH23" i="9"/>
  <c r="AH20" i="9"/>
  <c r="BM25" i="9"/>
  <c r="AJ23" i="9"/>
  <c r="AI21" i="9"/>
  <c r="N26" i="9"/>
  <c r="AB25" i="9"/>
  <c r="AC20" i="9"/>
  <c r="CL23" i="9"/>
  <c r="T23" i="9"/>
  <c r="K61" i="9"/>
  <c r="CM20" i="9"/>
  <c r="BT23" i="9"/>
  <c r="BS20" i="9"/>
  <c r="AZ20" i="9"/>
  <c r="BK26" i="9"/>
  <c r="CH21" i="9"/>
  <c r="AW26" i="9"/>
  <c r="AN26" i="9"/>
  <c r="BQ25" i="9"/>
  <c r="AP26" i="9"/>
  <c r="CD21" i="9"/>
  <c r="M22" i="9"/>
  <c r="AL24" i="9"/>
  <c r="BK22" i="9"/>
  <c r="AB20" i="9"/>
  <c r="AC61" i="9"/>
  <c r="BW24" i="9"/>
  <c r="W23" i="9"/>
  <c r="CE21" i="9"/>
  <c r="AM20" i="9"/>
  <c r="BH26" i="9"/>
  <c r="BD25" i="9"/>
  <c r="BL20" i="9"/>
  <c r="BP22" i="9"/>
  <c r="BE25" i="9"/>
  <c r="CP20" i="9"/>
  <c r="U26" i="9"/>
  <c r="AK24" i="9"/>
  <c r="BA26" i="9"/>
  <c r="CO25" i="9"/>
  <c r="BV25" i="9"/>
  <c r="AZ25" i="9"/>
  <c r="BY23" i="9"/>
  <c r="AQ24" i="9"/>
  <c r="BZ22" i="9"/>
  <c r="BN25" i="9"/>
  <c r="BH25" i="9"/>
  <c r="CI21" i="9"/>
  <c r="CC22" i="9"/>
  <c r="CM21" i="9"/>
  <c r="AT21" i="9"/>
  <c r="F26" i="9"/>
  <c r="AV20" i="9"/>
  <c r="CR26" i="9"/>
  <c r="AS20" i="9"/>
  <c r="CG26" i="9"/>
  <c r="DC9" i="19" s="1"/>
  <c r="AH23" i="9"/>
  <c r="BZ26" i="9"/>
  <c r="Y20" i="9"/>
  <c r="CH26" i="9"/>
  <c r="J23" i="9"/>
  <c r="BH24" i="9"/>
  <c r="BY26" i="9"/>
  <c r="CN23" i="9"/>
  <c r="K26" i="9"/>
  <c r="E24" i="9"/>
  <c r="N22" i="9"/>
  <c r="AK23" i="9"/>
  <c r="BC25" i="9"/>
  <c r="CE25" i="9"/>
  <c r="BI23" i="9"/>
  <c r="CD23" i="9"/>
  <c r="AS21" i="9"/>
  <c r="BO26" i="9"/>
  <c r="BU20" i="9"/>
  <c r="AH26" i="9"/>
  <c r="I21" i="9"/>
  <c r="AO26" i="9"/>
  <c r="O61" i="9"/>
  <c r="L26" i="9"/>
  <c r="AT24" i="9"/>
  <c r="BP24" i="9"/>
  <c r="BP20" i="9"/>
  <c r="CA24" i="9"/>
  <c r="AG23" i="9"/>
  <c r="AX24" i="9"/>
  <c r="CN25" i="9"/>
  <c r="BX21" i="9"/>
  <c r="CI26" i="9"/>
  <c r="AM26" i="9"/>
  <c r="BA22" i="9"/>
  <c r="N61" i="9"/>
  <c r="Q26" i="9"/>
  <c r="BV24" i="9"/>
  <c r="BJ21" i="9"/>
  <c r="BD24" i="9"/>
  <c r="BY21" i="9"/>
  <c r="AA26" i="9"/>
  <c r="AK20" i="9"/>
  <c r="G20" i="9"/>
  <c r="AS26" i="9"/>
  <c r="O20" i="9"/>
  <c r="CR21" i="9"/>
  <c r="BB26" i="9"/>
  <c r="CR20" i="9"/>
  <c r="AX26" i="9"/>
  <c r="P20" i="9"/>
  <c r="G26" i="9"/>
  <c r="BX22" i="9"/>
  <c r="T26" i="9"/>
  <c r="BK24" i="9"/>
  <c r="W21" i="9"/>
  <c r="BQ23" i="9"/>
  <c r="CJ20" i="9"/>
  <c r="BC20" i="9"/>
  <c r="F24" i="9"/>
  <c r="BD21" i="9"/>
  <c r="AR23" i="9"/>
  <c r="BU21" i="9"/>
  <c r="AS24" i="9"/>
  <c r="AJ21" i="9"/>
  <c r="BE23" i="9"/>
  <c r="AJ22" i="9"/>
  <c r="BE20" i="9"/>
  <c r="AB24" i="9"/>
  <c r="V22" i="9"/>
  <c r="BJ26" i="9"/>
  <c r="G24" i="9"/>
  <c r="CA22" i="9"/>
  <c r="BT25" i="9"/>
  <c r="F22" i="9"/>
  <c r="Q24" i="9"/>
  <c r="CN20" i="9"/>
  <c r="BH21" i="9"/>
  <c r="I61" i="9"/>
  <c r="J20" i="9"/>
  <c r="L61" i="9"/>
  <c r="BF22" i="9"/>
  <c r="CI20" i="9"/>
  <c r="AU61" i="9"/>
  <c r="N20" i="9"/>
  <c r="P21" i="9"/>
  <c r="BA21" i="9"/>
  <c r="AD61" i="9"/>
  <c r="BM22" i="9"/>
  <c r="CG22" i="9"/>
  <c r="DC5" i="19" s="1"/>
  <c r="BQ20" i="9"/>
  <c r="BW25" i="9"/>
  <c r="BL26" i="9"/>
  <c r="AO23" i="9"/>
  <c r="BN24" i="9"/>
  <c r="AI22" i="9"/>
  <c r="H61" i="9"/>
  <c r="AI20" i="9"/>
  <c r="H20" i="9"/>
  <c r="AG21" i="9"/>
  <c r="BH20" i="9"/>
  <c r="CO26" i="9"/>
  <c r="X21" i="9"/>
  <c r="AF26" i="9"/>
  <c r="AQ26" i="9"/>
  <c r="AT22" i="9"/>
  <c r="AN21" i="9"/>
  <c r="BQ26" i="9"/>
  <c r="AB23" i="9"/>
  <c r="P25" i="9"/>
  <c r="BI20" i="9"/>
  <c r="AZ26" i="9"/>
  <c r="U23" i="9"/>
  <c r="AT23" i="9"/>
  <c r="AA25" i="9"/>
  <c r="AW61" i="9"/>
  <c r="AP22" i="9"/>
  <c r="X61" i="9"/>
  <c r="E25" i="9"/>
  <c r="E23" i="9"/>
  <c r="Q22"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L8" i="9"/>
  <c r="P8" i="9"/>
  <c r="L10"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M55" i="9"/>
  <c r="H248" i="14"/>
  <c r="AT55" i="9"/>
  <c r="BQ55" i="9"/>
  <c r="H324" i="14"/>
  <c r="M96" i="9"/>
  <c r="H514" i="14"/>
  <c r="AL55" i="9"/>
  <c r="I134" i="14"/>
  <c r="J210" i="14"/>
  <c r="AC55" i="9"/>
  <c r="J1882" i="22"/>
  <c r="H704" i="14"/>
  <c r="I1692" i="21"/>
  <c r="AG55" i="9"/>
  <c r="AK96" i="9"/>
  <c r="F96" i="14"/>
  <c r="CI55" i="9"/>
  <c r="AW96" i="9"/>
  <c r="AT96" i="9"/>
  <c r="I134" i="15"/>
  <c r="Q55" i="9"/>
  <c r="AO96" i="9"/>
  <c r="CJ55" i="9"/>
  <c r="Z55" i="9"/>
  <c r="I514" i="14"/>
  <c r="T55" i="9"/>
  <c r="G134" i="15"/>
  <c r="BR55" i="9"/>
  <c r="I286" i="14"/>
  <c r="H400" i="14"/>
  <c r="F1692" i="21"/>
  <c r="BI55" i="9"/>
  <c r="F55" i="9"/>
  <c r="G514" i="14"/>
  <c r="J666" i="14"/>
  <c r="BX55" i="9"/>
  <c r="AO55" i="9"/>
  <c r="CC55" i="9"/>
  <c r="AW55" i="9"/>
  <c r="H286" i="14"/>
  <c r="J55" i="9"/>
  <c r="BW55" i="9"/>
  <c r="CA55" i="9"/>
  <c r="N96" i="9"/>
  <c r="AE55" i="9"/>
  <c r="M55" i="9"/>
  <c r="CF55" i="9"/>
  <c r="AR96" i="9"/>
  <c r="G324" i="14"/>
  <c r="CR55" i="9"/>
  <c r="AV96" i="9"/>
  <c r="BT55" i="9"/>
  <c r="AQ55" i="9"/>
  <c r="CQ55" i="9"/>
  <c r="BC55" i="9"/>
  <c r="J286" i="14"/>
  <c r="G96" i="9"/>
  <c r="I324" i="14"/>
  <c r="AA96" i="9"/>
  <c r="AF96" i="9"/>
  <c r="H666" i="14"/>
  <c r="V96" i="9"/>
  <c r="J96" i="9"/>
  <c r="J1692" i="21"/>
  <c r="BN55" i="9"/>
  <c r="I400" i="14"/>
  <c r="G400" i="14"/>
  <c r="H1882" i="22"/>
  <c r="G55" i="9"/>
  <c r="AV55" i="9"/>
  <c r="F1882" i="22"/>
  <c r="BF55" i="9"/>
  <c r="J134" i="14"/>
  <c r="X96" i="9"/>
  <c r="CG55" i="9"/>
  <c r="G96" i="14"/>
  <c r="H96" i="9"/>
  <c r="J248" i="14"/>
  <c r="AS96" i="9"/>
  <c r="I55" i="9"/>
  <c r="CP55" i="9"/>
  <c r="AI55" i="9"/>
  <c r="AJ55" i="9"/>
  <c r="F96" i="9"/>
  <c r="E96" i="9"/>
  <c r="O96" i="9"/>
  <c r="G1692" i="21"/>
  <c r="AQ96" i="9"/>
  <c r="J514" i="14"/>
  <c r="AS55" i="9"/>
  <c r="AB96" i="9"/>
  <c r="AR55" i="9"/>
  <c r="CO55" i="9"/>
  <c r="AH96" i="9"/>
  <c r="I96" i="14"/>
  <c r="F514" i="14"/>
  <c r="AG96" i="9"/>
  <c r="Q96" i="9"/>
  <c r="T96" i="9"/>
  <c r="J172" i="14"/>
  <c r="F704" i="14"/>
  <c r="F286" i="14"/>
  <c r="H134" i="14"/>
  <c r="F210" i="14"/>
  <c r="F134" i="15"/>
  <c r="CM55" i="9"/>
  <c r="O55" i="9"/>
  <c r="L55" i="9"/>
  <c r="G134" i="14"/>
  <c r="BD55" i="9"/>
  <c r="BM55" i="9"/>
  <c r="BE55" i="9"/>
  <c r="AI96" i="9"/>
  <c r="BZ55" i="9"/>
  <c r="H172" i="15"/>
  <c r="G286" i="14"/>
  <c r="H628" i="14"/>
  <c r="BB55" i="9"/>
  <c r="U55" i="9"/>
  <c r="H210" i="14"/>
  <c r="F172" i="14"/>
  <c r="H362" i="14"/>
  <c r="AU55" i="9"/>
  <c r="H1692" i="21"/>
  <c r="J628" i="14"/>
  <c r="AC96" i="9"/>
  <c r="L96" i="9"/>
  <c r="AA55" i="9"/>
  <c r="K96" i="9"/>
  <c r="AU96" i="9"/>
  <c r="AD96" i="9"/>
  <c r="BO55" i="9"/>
  <c r="H134" i="15"/>
  <c r="BV55" i="9"/>
  <c r="BU55" i="9"/>
  <c r="J704" i="14"/>
  <c r="N55" i="9"/>
  <c r="G172" i="15"/>
  <c r="J96" i="14"/>
  <c r="J362" i="14"/>
  <c r="K55" i="9"/>
  <c r="CD55" i="9"/>
  <c r="P96" i="9"/>
  <c r="H172" i="14"/>
  <c r="I704" i="14"/>
  <c r="J324" i="14"/>
  <c r="AN55" i="9"/>
  <c r="BK55" i="9"/>
  <c r="AB55" i="9"/>
  <c r="X55" i="9"/>
  <c r="AE96" i="9"/>
  <c r="AZ55" i="9"/>
  <c r="G248" i="14"/>
  <c r="F324" i="14"/>
  <c r="H96" i="14"/>
  <c r="I210" i="14"/>
  <c r="F134" i="14"/>
  <c r="J134" i="15"/>
  <c r="H55" i="9"/>
  <c r="P55" i="9"/>
  <c r="F628" i="14"/>
  <c r="W55" i="9"/>
  <c r="G362" i="14"/>
  <c r="BA55" i="9"/>
  <c r="G628" i="14"/>
  <c r="I628" i="14"/>
  <c r="Y96" i="9"/>
  <c r="CE55" i="9"/>
  <c r="BG55" i="9"/>
  <c r="AD55" i="9"/>
  <c r="AF55" i="9"/>
  <c r="AH55" i="9"/>
  <c r="BP55" i="9"/>
  <c r="BJ55" i="9"/>
  <c r="BH55" i="9"/>
  <c r="Z96" i="9"/>
  <c r="J400" i="14"/>
  <c r="AJ96" i="9"/>
  <c r="F172" i="15"/>
  <c r="CN55" i="9"/>
  <c r="I96" i="9"/>
  <c r="W96" i="9"/>
  <c r="G704" i="14"/>
  <c r="I172" i="15"/>
  <c r="G172" i="14"/>
  <c r="S55" i="9"/>
  <c r="CB55" i="9"/>
  <c r="AX55" i="9"/>
  <c r="F362" i="14"/>
  <c r="Y55" i="9"/>
  <c r="AM96" i="9"/>
  <c r="U96" i="9"/>
  <c r="I362" i="14"/>
  <c r="F666" i="14"/>
  <c r="E55" i="9"/>
  <c r="AN96" i="9"/>
  <c r="G210" i="14"/>
  <c r="G1882" i="22"/>
  <c r="J172" i="15"/>
  <c r="CH55" i="9"/>
  <c r="AP96" i="9"/>
  <c r="AP55" i="9"/>
  <c r="R96" i="9"/>
  <c r="BY55" i="9"/>
  <c r="I248" i="14"/>
  <c r="AK55" i="9"/>
  <c r="AY55" i="9"/>
  <c r="I172" i="14"/>
  <c r="G666" i="14"/>
  <c r="V55" i="9"/>
  <c r="S96" i="9"/>
  <c r="CK55" i="9"/>
  <c r="F400" i="14"/>
  <c r="AL96" i="9"/>
  <c r="I666" i="14"/>
  <c r="BS55" i="9"/>
  <c r="CL55" i="9"/>
  <c r="I1882" i="22"/>
  <c r="R55" i="9"/>
  <c r="F248" i="14"/>
  <c r="BL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008" i="22"/>
  <c r="F970" i="21"/>
  <c r="I1350" i="21"/>
  <c r="I1578" i="22"/>
  <c r="H1616" i="21"/>
  <c r="H970" i="22"/>
  <c r="I1426" i="22"/>
  <c r="J970" i="21"/>
  <c r="F1540" i="22"/>
  <c r="I1654" i="21"/>
  <c r="F970" i="22"/>
  <c r="G1008" i="22"/>
  <c r="I1122" i="22"/>
  <c r="H1122" i="22"/>
  <c r="F1578" i="22"/>
  <c r="G1350" i="21"/>
  <c r="J1578" i="22"/>
  <c r="H1654" i="21"/>
  <c r="J1844" i="22"/>
  <c r="G1616" i="21"/>
  <c r="G970" i="22"/>
  <c r="J1540" i="22"/>
  <c r="G1844" i="22"/>
  <c r="H1350" i="21"/>
  <c r="G1426" i="22"/>
  <c r="I970" i="22"/>
  <c r="J1350" i="21"/>
  <c r="G1540" i="22"/>
  <c r="F1350" i="21"/>
  <c r="F1008" i="22"/>
  <c r="G1654" i="21"/>
  <c r="J1426" i="22"/>
  <c r="H1578" i="22"/>
  <c r="H1426" i="22"/>
  <c r="F1654" i="21"/>
  <c r="J1654" i="21"/>
  <c r="J1616" i="21"/>
  <c r="J1122" i="22"/>
  <c r="G1578" i="22"/>
  <c r="F1426" i="22"/>
  <c r="F1616" i="21"/>
  <c r="J970" i="22"/>
  <c r="I1540" i="22"/>
  <c r="G1122" i="22"/>
  <c r="F1844" i="22"/>
  <c r="I1616" i="21"/>
  <c r="F1122" i="22"/>
  <c r="I970" i="21"/>
  <c r="I1008" i="22"/>
  <c r="I1844" i="22"/>
  <c r="G970" i="21"/>
  <c r="H970" i="21"/>
  <c r="H1008" i="22"/>
  <c r="H1844" i="22"/>
  <c r="H154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58" i="22"/>
  <c r="H400" i="22"/>
  <c r="J704" i="21"/>
  <c r="G932" i="21"/>
  <c r="F1274" i="22"/>
  <c r="G856" i="21"/>
  <c r="I20" i="5"/>
  <c r="I1464" i="22"/>
  <c r="G96" i="21"/>
  <c r="G1692" i="22"/>
  <c r="G210" i="15"/>
  <c r="H1236" i="22"/>
  <c r="H780" i="21"/>
  <c r="F818" i="22"/>
  <c r="J1274" i="22"/>
  <c r="H704" i="21"/>
  <c r="J476" i="21"/>
  <c r="F96" i="13"/>
  <c r="J818" i="21"/>
  <c r="J210" i="5"/>
  <c r="H96" i="18"/>
  <c r="H1312" i="22"/>
  <c r="G248" i="21"/>
  <c r="I286" i="21"/>
  <c r="J96" i="18"/>
  <c r="I1502" i="21"/>
  <c r="G552" i="21"/>
  <c r="I134" i="22"/>
  <c r="J590" i="14"/>
  <c r="H134" i="21"/>
  <c r="I1160" i="22"/>
  <c r="J438" i="14"/>
  <c r="I1312" i="22"/>
  <c r="F590" i="21"/>
  <c r="H1768" i="22"/>
  <c r="J134" i="21"/>
  <c r="F742" i="21"/>
  <c r="G742" i="22"/>
  <c r="G438" i="22"/>
  <c r="F20" i="5"/>
  <c r="G894" i="21"/>
  <c r="F20" i="18"/>
  <c r="I780" i="22"/>
  <c r="F1730" i="22"/>
  <c r="H20" i="21"/>
  <c r="G172" i="22"/>
  <c r="J134" i="22"/>
  <c r="J1008" i="21"/>
  <c r="H1388" i="22"/>
  <c r="J476" i="14"/>
  <c r="I894" i="21"/>
  <c r="H96" i="5"/>
  <c r="I1578" i="21"/>
  <c r="I1008" i="21"/>
  <c r="H210" i="5"/>
  <c r="F1578" i="21"/>
  <c r="H742" i="22"/>
  <c r="H58" i="13"/>
  <c r="G1198" i="22"/>
  <c r="H172" i="18"/>
  <c r="I1806" i="22"/>
  <c r="J1046" i="22"/>
  <c r="F1540" i="21"/>
  <c r="I704" i="22"/>
  <c r="I590" i="14"/>
  <c r="H1692" i="22"/>
  <c r="G1578" i="21"/>
  <c r="I134" i="21"/>
  <c r="J856" i="21"/>
  <c r="G1122" i="21"/>
  <c r="F1692" i="22"/>
  <c r="I324" i="15"/>
  <c r="G20" i="15"/>
  <c r="I438" i="22"/>
  <c r="I58" i="18"/>
  <c r="H58" i="22"/>
  <c r="H1046" i="21"/>
  <c r="I1274" i="21"/>
  <c r="G628" i="22"/>
  <c r="H210" i="22"/>
  <c r="F1464" i="21"/>
  <c r="H628" i="21"/>
  <c r="I248" i="21"/>
  <c r="I1464" i="21"/>
  <c r="I742" i="21"/>
  <c r="F96" i="22"/>
  <c r="H1464" i="21"/>
  <c r="F20" i="15"/>
  <c r="J248" i="21"/>
  <c r="I362" i="22"/>
  <c r="I58" i="15"/>
  <c r="H1730" i="22"/>
  <c r="G704" i="22"/>
  <c r="J1312" i="22"/>
  <c r="G1198" i="21"/>
  <c r="J704" i="22"/>
  <c r="I552" i="22"/>
  <c r="I666" i="21"/>
  <c r="F400" i="21"/>
  <c r="I1350" i="22"/>
  <c r="G438" i="14"/>
  <c r="J286" i="21"/>
  <c r="F666" i="22"/>
  <c r="I172" i="5"/>
  <c r="J1692" i="22"/>
  <c r="J1312" i="21"/>
  <c r="J1426" i="21"/>
  <c r="F552" i="22"/>
  <c r="F476" i="21"/>
  <c r="I818" i="22"/>
  <c r="F704" i="21"/>
  <c r="I628" i="21"/>
  <c r="G590" i="21"/>
  <c r="F172" i="5"/>
  <c r="J20" i="5"/>
  <c r="F324" i="21"/>
  <c r="G58" i="21"/>
  <c r="G134" i="5"/>
  <c r="G96" i="15"/>
  <c r="J172" i="22"/>
  <c r="F58" i="15"/>
  <c r="J210" i="15"/>
  <c r="J172" i="18"/>
  <c r="G210" i="21"/>
  <c r="F20" i="21"/>
  <c r="H628" i="22"/>
  <c r="F1084" i="21"/>
  <c r="F58" i="21"/>
  <c r="F476" i="22"/>
  <c r="G96" i="18"/>
  <c r="I552" i="21"/>
  <c r="H286" i="21"/>
  <c r="G438" i="21"/>
  <c r="G1160" i="22"/>
  <c r="F1084" i="22"/>
  <c r="G856" i="22"/>
  <c r="F1312" i="21"/>
  <c r="H1502" i="21"/>
  <c r="G628" i="21"/>
  <c r="J590" i="22"/>
  <c r="J400" i="21"/>
  <c r="F1616" i="22"/>
  <c r="F96" i="18"/>
  <c r="J438" i="21"/>
  <c r="J1236" i="21"/>
  <c r="J96" i="5"/>
  <c r="H590" i="22"/>
  <c r="F248" i="15"/>
  <c r="J58" i="15"/>
  <c r="I286" i="22"/>
  <c r="J1160" i="21"/>
  <c r="H20" i="22"/>
  <c r="F438" i="22"/>
  <c r="J1160" i="22"/>
  <c r="J1768" i="22"/>
  <c r="G894" i="22"/>
  <c r="F628" i="21"/>
  <c r="I438" i="14"/>
  <c r="G1160" i="21"/>
  <c r="G552" i="22"/>
  <c r="H1464" i="22"/>
  <c r="G1388" i="22"/>
  <c r="J362" i="22"/>
  <c r="G58" i="18"/>
  <c r="I476" i="14"/>
  <c r="I932" i="21"/>
  <c r="J1502" i="22"/>
  <c r="I1160" i="21"/>
  <c r="J1730" i="22"/>
  <c r="G1806" i="22"/>
  <c r="J1198" i="21"/>
  <c r="G400" i="21"/>
  <c r="H96" i="15"/>
  <c r="F58" i="14"/>
  <c r="H438" i="22"/>
  <c r="J324" i="15"/>
  <c r="H20" i="13"/>
  <c r="G286" i="22"/>
  <c r="H818" i="22"/>
  <c r="I210" i="22"/>
  <c r="H1084" i="22"/>
  <c r="I248" i="22"/>
  <c r="J476" i="22"/>
  <c r="J210" i="21"/>
  <c r="G96" i="22"/>
  <c r="I1730" i="22"/>
  <c r="J742" i="22"/>
  <c r="H400" i="21"/>
  <c r="J1198" i="22"/>
  <c r="F20" i="14"/>
  <c r="G324" i="15"/>
  <c r="G58" i="15"/>
  <c r="G210" i="5"/>
  <c r="J58" i="13"/>
  <c r="G1730" i="22"/>
  <c r="G58" i="22"/>
  <c r="J780" i="21"/>
  <c r="F210" i="22"/>
  <c r="H666" i="22"/>
  <c r="H476" i="21"/>
  <c r="G172" i="18"/>
  <c r="F58" i="13"/>
  <c r="G286" i="21"/>
  <c r="H210" i="21"/>
  <c r="F894" i="22"/>
  <c r="G324" i="22"/>
  <c r="I58" i="14"/>
  <c r="I932" i="22"/>
  <c r="F20" i="22"/>
  <c r="G20" i="13"/>
  <c r="F590" i="22"/>
  <c r="F1160" i="21"/>
  <c r="F1426" i="21"/>
  <c r="I96" i="22"/>
  <c r="J400" i="22"/>
  <c r="F134" i="18"/>
  <c r="F1350" i="22"/>
  <c r="I1084" i="22"/>
  <c r="H58" i="15"/>
  <c r="H20" i="15"/>
  <c r="J96" i="13"/>
  <c r="I856" i="22"/>
  <c r="F1236" i="21"/>
  <c r="H932" i="21"/>
  <c r="F1768" i="22"/>
  <c r="H590" i="21"/>
  <c r="J1046" i="21"/>
  <c r="H438" i="21"/>
  <c r="G1426" i="21"/>
  <c r="F1274" i="21"/>
  <c r="F818" i="21"/>
  <c r="H704" i="22"/>
  <c r="H324" i="21"/>
  <c r="G20" i="21"/>
  <c r="F1198" i="22"/>
  <c r="G1350" i="22"/>
  <c r="F1502" i="21"/>
  <c r="F134" i="21"/>
  <c r="I324" i="21"/>
  <c r="J248" i="22"/>
  <c r="F172" i="21"/>
  <c r="G476" i="14"/>
  <c r="H932" i="22"/>
  <c r="G20" i="18"/>
  <c r="J514" i="22"/>
  <c r="I1654" i="22"/>
  <c r="H514" i="22"/>
  <c r="F134" i="22"/>
  <c r="G210" i="22"/>
  <c r="H438" i="14"/>
  <c r="J58" i="5"/>
  <c r="H856" i="22"/>
  <c r="F210" i="21"/>
  <c r="J96" i="21"/>
  <c r="G818" i="22"/>
  <c r="H58" i="18"/>
  <c r="H894" i="22"/>
  <c r="H1540" i="21"/>
  <c r="I476" i="21"/>
  <c r="J20" i="14"/>
  <c r="I1312" i="21"/>
  <c r="G476" i="22"/>
  <c r="H1084" i="21"/>
  <c r="G1274" i="22"/>
  <c r="H324" i="15"/>
  <c r="I780" i="21"/>
  <c r="F96" i="5"/>
  <c r="G666" i="22"/>
  <c r="G172" i="21"/>
  <c r="I1198" i="21"/>
  <c r="G514" i="22"/>
  <c r="H286" i="15"/>
  <c r="F362" i="21"/>
  <c r="J666" i="21"/>
  <c r="G58" i="5"/>
  <c r="J894" i="21"/>
  <c r="G1084" i="22"/>
  <c r="H1312" i="21"/>
  <c r="I742" i="22"/>
  <c r="J324" i="21"/>
  <c r="G20" i="22"/>
  <c r="J818" i="22"/>
  <c r="I58" i="13"/>
  <c r="I1198" i="22"/>
  <c r="G742" i="21"/>
  <c r="G286" i="15"/>
  <c r="J1274" i="21"/>
  <c r="H58" i="5"/>
  <c r="I1388" i="21"/>
  <c r="J172" i="5"/>
  <c r="F1046" i="22"/>
  <c r="F324" i="22"/>
  <c r="I1426" i="21"/>
  <c r="G514" i="21"/>
  <c r="H58" i="21"/>
  <c r="H20" i="18"/>
  <c r="F210" i="5"/>
  <c r="G134" i="18"/>
  <c r="I134" i="5"/>
  <c r="J324" i="22"/>
  <c r="I1046" i="22"/>
  <c r="I1692" i="22"/>
  <c r="J438" i="22"/>
  <c r="J172" i="21"/>
  <c r="I476" i="22"/>
  <c r="F552" i="21"/>
  <c r="H134" i="22"/>
  <c r="I1236" i="22"/>
  <c r="J1540" i="21"/>
  <c r="I514" i="21"/>
  <c r="I58" i="21"/>
  <c r="H1160" i="21"/>
  <c r="G932" i="22"/>
  <c r="J1806" i="22"/>
  <c r="G1388" i="21"/>
  <c r="F58" i="5"/>
  <c r="H134" i="5"/>
  <c r="F438" i="21"/>
  <c r="G1236" i="22"/>
  <c r="I210" i="21"/>
  <c r="I324" i="22"/>
  <c r="F286" i="21"/>
  <c r="G1274" i="21"/>
  <c r="H818" i="21"/>
  <c r="F96" i="21"/>
  <c r="G818" i="21"/>
  <c r="G324" i="21"/>
  <c r="H96" i="22"/>
  <c r="J514" i="21"/>
  <c r="F286" i="15"/>
  <c r="H172" i="5"/>
  <c r="F894" i="21"/>
  <c r="H20" i="14"/>
  <c r="G362" i="22"/>
  <c r="I20" i="22"/>
  <c r="I96" i="15"/>
  <c r="H1236" i="21"/>
  <c r="H1198" i="22"/>
  <c r="H286" i="22"/>
  <c r="I1388" i="22"/>
  <c r="G248" i="15"/>
  <c r="J552" i="14"/>
  <c r="G58" i="14"/>
  <c r="J20" i="18"/>
  <c r="G96" i="13"/>
  <c r="G1540" i="21"/>
  <c r="J20" i="13"/>
  <c r="I894" i="22"/>
  <c r="G780" i="21"/>
  <c r="G134" i="22"/>
  <c r="H248" i="22"/>
  <c r="H1578" i="21"/>
  <c r="I96" i="13"/>
  <c r="I590" i="22"/>
  <c r="F248" i="22"/>
  <c r="H362" i="21"/>
  <c r="J58" i="22"/>
  <c r="I96" i="18"/>
  <c r="G96" i="5"/>
  <c r="G552" i="14"/>
  <c r="I210" i="5"/>
  <c r="I1274" i="22"/>
  <c r="F1502" i="22"/>
  <c r="F780" i="22"/>
  <c r="G1502" i="21"/>
  <c r="J894" i="22"/>
  <c r="G1084" i="21"/>
  <c r="G248" i="22"/>
  <c r="G362" i="21"/>
  <c r="G1464" i="21"/>
  <c r="F172" i="18"/>
  <c r="H1502" i="22"/>
  <c r="J1388" i="22"/>
  <c r="H248" i="21"/>
  <c r="G590" i="22"/>
  <c r="F1388" i="22"/>
  <c r="J1578" i="21"/>
  <c r="I20" i="15"/>
  <c r="I1122" i="21"/>
  <c r="J96" i="15"/>
  <c r="J20" i="15"/>
  <c r="F1198" i="21"/>
  <c r="G1616" i="22"/>
  <c r="H780" i="22"/>
  <c r="J362" i="21"/>
  <c r="H172" i="21"/>
  <c r="J1236" i="22"/>
  <c r="J286" i="22"/>
  <c r="H172" i="22"/>
  <c r="J1464" i="22"/>
  <c r="F856" i="22"/>
  <c r="H134" i="18"/>
  <c r="I134" i="18"/>
  <c r="J666" i="22"/>
  <c r="H1046" i="22"/>
  <c r="F666" i="21"/>
  <c r="I628" i="22"/>
  <c r="F1464" i="22"/>
  <c r="J552" i="21"/>
  <c r="H1654" i="22"/>
  <c r="H514" i="21"/>
  <c r="I1084" i="21"/>
  <c r="J552" i="22"/>
  <c r="J1350" i="22"/>
  <c r="F628" i="22"/>
  <c r="J286" i="15"/>
  <c r="H1616" i="22"/>
  <c r="H1274" i="21"/>
  <c r="I818" i="21"/>
  <c r="F1046" i="21"/>
  <c r="I210" i="15"/>
  <c r="G58" i="13"/>
  <c r="I1046" i="21"/>
  <c r="H894" i="21"/>
  <c r="G134" i="21"/>
  <c r="H20" i="5"/>
  <c r="J1654" i="22"/>
  <c r="F210" i="15"/>
  <c r="H590" i="14"/>
  <c r="I20" i="14"/>
  <c r="F438" i="14"/>
  <c r="I704" i="21"/>
  <c r="J628" i="21"/>
  <c r="J628" i="22"/>
  <c r="J742" i="21"/>
  <c r="J1388" i="21"/>
  <c r="H552" i="22"/>
  <c r="J780" i="22"/>
  <c r="H248" i="15"/>
  <c r="I514" i="22"/>
  <c r="I172" i="21"/>
  <c r="F552" i="14"/>
  <c r="J248" i="15"/>
  <c r="F58" i="22"/>
  <c r="G1312" i="21"/>
  <c r="H1426" i="21"/>
  <c r="I400" i="22"/>
  <c r="I248" i="15"/>
  <c r="J1122" i="21"/>
  <c r="J932" i="21"/>
  <c r="I20" i="13"/>
  <c r="I362" i="21"/>
  <c r="F286" i="22"/>
  <c r="J1084" i="21"/>
  <c r="G1464" i="22"/>
  <c r="F324" i="15"/>
  <c r="J58" i="18"/>
  <c r="G476" i="21"/>
  <c r="H1388" i="21"/>
  <c r="J20" i="21"/>
  <c r="H1160" i="22"/>
  <c r="H742" i="21"/>
  <c r="I856" i="21"/>
  <c r="H1008" i="21"/>
  <c r="J58" i="14"/>
  <c r="F590" i="14"/>
  <c r="G1008" i="21"/>
  <c r="F932" i="22"/>
  <c r="G590" i="14"/>
  <c r="F476" i="14"/>
  <c r="F1122" i="21"/>
  <c r="G400" i="22"/>
  <c r="F1654" i="22"/>
  <c r="G1236" i="21"/>
  <c r="J58" i="21"/>
  <c r="F400" i="22"/>
  <c r="G172" i="5"/>
  <c r="G780" i="22"/>
  <c r="G666" i="21"/>
  <c r="H362" i="22"/>
  <c r="H552" i="21"/>
  <c r="I1540" i="21"/>
  <c r="I96" i="21"/>
  <c r="F172" i="22"/>
  <c r="G704" i="21"/>
  <c r="J1502" i="21"/>
  <c r="H1806" i="22"/>
  <c r="F514" i="21"/>
  <c r="H96" i="21"/>
  <c r="I172" i="22"/>
  <c r="F248" i="21"/>
  <c r="J1464" i="21"/>
  <c r="H1198" i="21"/>
  <c r="J96" i="22"/>
  <c r="F1008" i="21"/>
  <c r="F362" i="22"/>
  <c r="J20" i="22"/>
  <c r="F514" i="22"/>
  <c r="F134" i="5"/>
  <c r="H552" i="14"/>
  <c r="G1046" i="22"/>
  <c r="J590" i="21"/>
  <c r="F1388" i="21"/>
  <c r="G20" i="5"/>
  <c r="H324" i="22"/>
  <c r="J1084" i="22"/>
  <c r="F780" i="21"/>
  <c r="F932" i="21"/>
  <c r="I58" i="5"/>
  <c r="F856" i="21"/>
  <c r="G1502" i="22"/>
  <c r="G1768" i="22"/>
  <c r="F1236" i="22"/>
  <c r="H476" i="22"/>
  <c r="J932" i="22"/>
  <c r="H1122" i="21"/>
  <c r="G1046" i="21"/>
  <c r="F96" i="15"/>
  <c r="F1160" i="22"/>
  <c r="F58" i="18"/>
  <c r="J134" i="5"/>
  <c r="I438" i="21"/>
  <c r="H58" i="14"/>
  <c r="I1616" i="22"/>
  <c r="J1616" i="22"/>
  <c r="I666" i="22"/>
  <c r="I1502" i="22"/>
  <c r="F1312" i="22"/>
  <c r="I172" i="18"/>
  <c r="I20" i="18"/>
  <c r="I552" i="14"/>
  <c r="I590" i="21"/>
  <c r="G1312" i="22"/>
  <c r="H1274" i="22"/>
  <c r="F20" i="13"/>
  <c r="H666" i="21"/>
  <c r="H210" i="15"/>
  <c r="F742" i="22"/>
  <c r="J856" i="22"/>
  <c r="J134" i="18"/>
  <c r="J210" i="22"/>
  <c r="I286" i="15"/>
  <c r="I1768" i="22"/>
  <c r="G20" i="14"/>
  <c r="I20" i="21"/>
  <c r="I1236" i="21"/>
  <c r="H476" i="14"/>
  <c r="F1806" i="22"/>
  <c r="H1350" i="22"/>
  <c r="F704" i="22"/>
  <c r="I400" i="21"/>
  <c r="H856" i="21"/>
  <c r="I96" i="5"/>
  <c r="G1654" i="22"/>
  <c r="H96" i="13"/>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29" authorId="1" shapeId="0">
      <text>
        <r>
          <rPr>
            <b/>
            <sz val="9"/>
            <color indexed="81"/>
            <rFont val="Tahoma"/>
            <family val="2"/>
          </rPr>
          <t>Identifica la URL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<sst xmlns="http://schemas.openxmlformats.org/spreadsheetml/2006/main" count="2884" uniqueCount="503">
  <si>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</si>
  <si>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</si>
  <si>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</si>
  <si>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</si>
  <si>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</si>
  <si>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</si>
  <si>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</si>
  <si>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</si>
  <si>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</si>
  <si>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</si>
  <si>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</si>
  <si>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</si>
  <si>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</si>
  <si>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</si>
  <si>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</si>
  <si>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</si>
  <si>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</si>
  <si>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</si>
  <si>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</si>
  <si>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</si>
  <si>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</si>
  <si>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</si>
  <si>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</si>
  <si>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</si>
  <si>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</si>
  <si>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</si>
  <si>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</si>
  <si>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</si>
  <si>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</si>
  <si>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</si>
  <si>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</si>
  <si>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</si>
  <si>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</si>
  <si>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</si>
  <si>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</si>
  <si>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</si>
  <si>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</si>
  <si>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</si>
  <si>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</si>
  <si>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</si>
  <si>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</si>
  <si>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</si>
  <si>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</si>
  <si>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</si>
  <si>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</si>
  <si>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</si>
  <si>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</si>
  <si>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</si>
  <si>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</si>
  <si>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</si>
  <si>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</si>
  <si>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</si>
  <si>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</si>
  <si>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</si>
  <si>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</si>
  <si>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</si>
  <si>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</si>
  <si>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</si>
  <si>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</si>
  <si>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</si>
  <si>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</si>
  <si>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</si>
  <si>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</si>
  <si>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</si>
  <si>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</si>
  <si>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</si>
  <si>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</si>
  <si>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</si>
  <si>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</si>
  <si>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</si>
  <si>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</si>
  <si>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</si>
  <si>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</si>
  <si>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</si>
  <si>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</si>
  <si>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</si>
  <si>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</si>
  <si>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</si>
  <si>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</si>
  <si>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</si>
  <si>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</si>
  <si>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</si>
  <si>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</si>
  <si>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</si>
  <si>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</si>
  <si>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</si>
  <si>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</si>
  <si>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</si>
  <si>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</si>
  <si>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</si>
  <si>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</si>
  <si>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</si>
  <si>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</si>
  <si>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</si>
  <si>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</si>
  <si>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</si>
  <si>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</si>
  <si>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</si>
  <si>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</si>
  <si>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</si>
  <si>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</si>
  <si>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</si>
  <si>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</si>
  <si>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</si>
  <si>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</si>
  <si>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</si>
  <si>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</si>
  <si>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</si>
  <si>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</si>
  <si>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</si>
  <si>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</si>
  <si>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</si>
  <si>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</si>
  <si>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</si>
  <si>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</si>
  <si>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</si>
  <si>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</si>
  <si>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</si>
  <si>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</si>
  <si>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</si>
  <si>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</si>
  <si>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</si>
  <si>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</si>
  <si>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</si>
  <si>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</si>
  <si>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</si>
  <si>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</si>
  <si>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</si>
  <si>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</si>
  <si>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</si>
  <si>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</si>
  <si>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</si>
  <si>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</si>
  <si>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</si>
  <si>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</si>
  <si>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</si>
  <si>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</si>
  <si>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</si>
  <si>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</si>
  <si>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</si>
  <si>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</si>
  <si>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</si>
  <si>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</si>
  <si>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</si>
  <si>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</si>
  <si>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</si>
  <si>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</si>
  <si>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</si>
  <si>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</si>
  <si>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</si>
  <si>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</si>
  <si>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</si>
  <si>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</si>
  <si>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</si>
  <si>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</si>
  <si>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</si>
  <si>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</si>
  <si>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</si>
  <si>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</si>
  <si>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</si>
  <si>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</si>
  <si>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</si>
  <si>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</si>
  <si>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</si>
  <si>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</si>
  <si>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</si>
  <si>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</si>
  <si>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</si>
  <si>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</si>
  <si>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</si>
  <si>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</si>
  <si>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</si>
  <si>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</si>
  <si>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</si>
  <si>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</si>
  <si>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</si>
  <si>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</si>
  <si>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</si>
  <si>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</si>
  <si>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</si>
  <si>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</si>
  <si>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</si>
  <si>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</si>
  <si>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</si>
  <si>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</si>
  <si>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</si>
  <si>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</si>
  <si>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</si>
  <si>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</si>
  <si>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</si>
  <si>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</si>
  <si>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</si>
  <si>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</si>
  <si>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</si>
  <si>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</si>
  <si>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</si>
  <si>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</si>
  <si>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</si>
  <si>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</si>
  <si>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</si>
  <si>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</si>
  <si>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</si>
  <si>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</si>
  <si>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</si>
  <si>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</si>
  <si>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</si>
  <si>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</si>
  <si>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</si>
  <si>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</si>
  <si>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</si>
  <si>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</si>
  <si>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</si>
  <si>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</si>
  <si>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</si>
  <si>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</si>
  <si>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</si>
  <si>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</si>
  <si>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</si>
  <si>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</si>
  <si>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</si>
  <si>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</si>
  <si>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</si>
  <si>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</si>
  <si>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</si>
  <si>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</si>
  <si>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</si>
  <si>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</si>
  <si>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</si>
  <si>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</si>
  <si>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</si>
  <si>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</si>
  <si>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</si>
  <si>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</si>
  <si>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</si>
  <si>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</si>
  <si>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</si>
  <si>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</si>
  <si>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</si>
  <si>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</si>
  <si>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</si>
  <si>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</si>
  <si>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</si>
  <si>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</si>
  <si>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</si>
  <si>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</si>
  <si>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</si>
  <si>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</si>
  <si>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</si>
  <si>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</si>
  <si>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</si>
  <si>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</si>
  <si>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</si>
  <si>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</si>
  <si>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</si>
  <si>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</si>
  <si>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</si>
  <si>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</si>
  <si>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</si>
  <si>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</si>
  <si>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</si>
  <si>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</si>
  <si>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</si>
  <si>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</si>
  <si>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</si>
  <si>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</si>
  <si>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</si>
  <si>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</si>
  <si>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</si>
  <si>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</si>
  <si>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</si>
  <si>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</si>
  <si>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</si>
  <si>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</si>
  <si>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</si>
  <si>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</si>
  <si>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</si>
  <si>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</si>
  <si>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</si>
  <si>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</si>
  <si>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</si>
  <si>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</si>
  <si>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</si>
  <si>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</si>
  <si>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</si>
  <si>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</si>
  <si>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</si>
  <si>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</si>
  <si>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</si>
  <si>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</si>
  <si>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</si>
  <si>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</si>
  <si>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</si>
  <si>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</si>
  <si>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</si>
  <si>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</si>
  <si>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</si>
  <si>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</si>
  <si>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</si>
  <si>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</si>
  <si>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</si>
  <si>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</si>
  <si>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</si>
  <si>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</si>
  <si>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</si>
  <si>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</si>
  <si>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</si>
  <si>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</si>
  <si>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</si>
  <si>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</si>
  <si>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</si>
  <si>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</si>
  <si>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</si>
  <si>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</si>
  <si>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</si>
  <si>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</si>
  <si>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</si>
  <si>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</si>
  <si>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</si>
  <si>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</si>
  <si>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</si>
  <si>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</si>
  <si>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</si>
  <si>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</si>
  <si>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</si>
  <si>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</si>
  <si>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</si>
  <si>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</si>
  <si>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</si>
  <si>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</si>
  <si>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</si>
  <si>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</si>
  <si>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</si>
  <si>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</si>
  <si>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</si>
  <si>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</si>
  <si>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</si>
  <si>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</si>
  <si>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</si>
  <si>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</si>
  <si>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</si>
  <si>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</si>
  <si>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</si>
  <si>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</si>
  <si>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</si>
  <si>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</si>
  <si>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</si>
  <si>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</si>
  <si>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</si>
  <si>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</si>
  <si>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</si>
  <si>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</si>
  <si>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</si>
  <si>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</si>
  <si>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</si>
  <si>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</si>
  <si>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</si>
  <si>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</si>
  <si>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</si>
  <si>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</si>
  <si>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</si>
  <si>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</si>
  <si>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</si>
  <si>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</si>
  <si>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</si>
  <si>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</si>
  <si>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</si>
  <si>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</si>
  <si>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</si>
  <si>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</si>
  <si>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</si>
  <si>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</si>
  <si>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</si>
  <si>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</si>
  <si>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</si>
  <si>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</si>
  <si>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</si>
  <si>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</si>
  <si>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</si>
  <si>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</si>
  <si>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</si>
  <si>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</si>
  <si>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</si>
  <si>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</si>
  <si>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</si>
  <si>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</si>
  <si>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</si>
  <si>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</si>
  <si>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</si>
  <si>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</si>
  <si>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</si>
  <si>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</si>
  <si>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</si>
  <si>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</si>
  <si>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</si>
  <si>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</si>
  <si>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</si>
  <si>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</si>
  <si>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</si>
  <si>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</si>
  <si>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</si>
  <si>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</si>
  <si>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</si>
  <si>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</si>
  <si>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</si>
  <si>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</si>
  <si>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</si>
  <si>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</si>
  <si>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</si>
  <si>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</si>
  <si>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</si>
  <si>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</si>
  <si>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</si>
  <si>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</si>
  <si>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</si>
  <si>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</si>
  <si>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</si>
  <si>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</si>
  <si>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</si>
  <si>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</si>
  <si>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</si>
  <si>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</si>
  <si>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</si>
  <si>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</si>
  <si>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</si>
  <si>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</si>
  <si>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</si>
  <si>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</si>
  <si>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</si>
  <si>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</si>
  <si>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</si>
  <si>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</si>
  <si>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</si>
  <si>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</si>
  <si>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</si>
  <si>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</si>
  <si>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</si>
  <si>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</si>
  <si>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</si>
  <si>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</si>
  <si>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</si>
  <si>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</si>
  <si>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</si>
  <si>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</si>
  <si>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</si>
  <si>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</si>
  <si>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</si>
  <si>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</si>
  <si>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</si>
  <si>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</si>
  <si>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</si>
  <si>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</si>
  <si>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</si>
  <si>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</si>
  <si>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</si>
  <si>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</si>
  <si>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</si>
  <si>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</si>
  <si>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</si>
  <si>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</si>
  <si>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</si>
  <si>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</si>
  <si>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</si>
  <si>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</si>
  <si>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</si>
  <si>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</si>
  <si>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</si>
  <si>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</si>
  <si>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</si>
  <si>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</si>
  <si>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</si>
  <si>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</si>
  <si>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</si>
  <si>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</si>
  <si>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</si>
  <si>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</si>
  <si>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</si>
  <si>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</si>
  <si>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</si>
  <si>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</si>
  <si>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</si>
  <si>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</si>
  <si>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Listado de expedientes en tramitación</t>
  </si>
  <si>
    <t>Se revisan las páginas del dominio</t>
  </si>
  <si>
    <t>Equipo: Intel(R) Core(TM) i5-8365U CPU @ 1.60GHz   1.90 GHz, 
RAM: 8,0 GB
Sistema Operativo: Windows 10 Enterprise
Navegador: Google Chrome Versión 109.0.5414.75
Herramientas utilizadas: Tawdis, LightHouse, Wave, Color Contrast Analyzer, Headings map, Screen reader, https://validator.w3.org/nu/</t>
  </si>
  <si>
    <t xml:space="preserve">https://www.bocm.es/	</t>
  </si>
  <si>
    <t>https://www.bocm.es/declaracion-de-accesibilidad</t>
  </si>
  <si>
    <t>Boletin Oficial Comunidad de Madrid</t>
  </si>
  <si>
    <t>https://www.bocm.es/</t>
  </si>
  <si>
    <t>https://www.bocm.es/ultimo-bocm</t>
  </si>
  <si>
    <t>https://www.bocm.es/autentificacion-verificacion</t>
  </si>
  <si>
    <t>https://www.bocm.es/que-es-bocm</t>
  </si>
  <si>
    <t>https://www.bocm.es/organismo-autonomo</t>
  </si>
  <si>
    <t>https://www.bocm.es/publicar-anuncio</t>
  </si>
  <si>
    <t>Inicio</t>
  </si>
  <si>
    <t>Inicio/ultimo-bocm</t>
  </si>
  <si>
    <t>Inicio/declaracion-de-accesibilidad</t>
  </si>
  <si>
    <t>Inicio/s/publicar-anuncio</t>
  </si>
  <si>
    <t>Inicio/organismo-autonomo</t>
  </si>
  <si>
    <t>Inicio/que-es-bocm</t>
  </si>
  <si>
    <t>Inicio/autentificacion-verificacion</t>
  </si>
  <si>
    <t>https://www.bocm.es/boletin/CM_Boletin_BOCM/2024/01/10/00800.PDF</t>
  </si>
  <si>
    <t>Documento no web</t>
  </si>
  <si>
    <t>Inicio/Descargar boletin completo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</si>
</sst>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142722</xdr:rowOff>
    </xdr:from>
    <xdr:to>
      <xdr:col>8</xdr:col>
      <xdr:colOff>355071</xdr:colOff>
      <xdr:row>25</xdr:row>
      <xdr:rowOff>67251</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8020</xdr:rowOff>
    </xdr:from>
    <xdr:to>
      <xdr:col>11</xdr:col>
      <xdr:colOff>48828</xdr:colOff>
      <xdr:row>203</xdr:row>
      <xdr:rowOff>28576</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30188</xdr:rowOff>
    </xdr:from>
    <xdr:to>
      <xdr:col>11</xdr:col>
      <xdr:colOff>26849</xdr:colOff>
      <xdr:row>147</xdr:row>
      <xdr:rowOff>120650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26503</xdr:colOff>
      <xdr:row>101</xdr:row>
      <xdr:rowOff>10970</xdr:rowOff>
    </xdr:from>
    <xdr:to>
      <xdr:col>11</xdr:col>
      <xdr:colOff>29419</xdr:colOff>
      <xdr:row>114</xdr:row>
      <xdr:rowOff>146049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65694</xdr:colOff>
      <xdr:row>62</xdr:row>
      <xdr:rowOff>143859</xdr:rowOff>
    </xdr:from>
    <xdr:to>
      <xdr:col>11</xdr:col>
      <xdr:colOff>86928</xdr:colOff>
      <xdr:row>91</xdr:row>
      <xdr:rowOff>7409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144715</xdr:rowOff>
    </xdr:from>
    <xdr:to>
      <xdr:col>11</xdr:col>
      <xdr:colOff>26848</xdr:colOff>
      <xdr:row>47</xdr:row>
      <xdr:rowOff>66674</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580304</xdr:colOff>
      <xdr:row>58</xdr:row>
      <xdr:rowOff>27979</xdr:rowOff>
    </xdr:from>
    <xdr:to>
      <xdr:col>8</xdr:col>
      <xdr:colOff>362860</xdr:colOff>
      <xdr:row>62</xdr:row>
      <xdr:rowOff>104909</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602548</xdr:colOff>
      <xdr:row>96</xdr:row>
      <xdr:rowOff>1404</xdr:rowOff>
    </xdr:from>
    <xdr:to>
      <xdr:col>8</xdr:col>
      <xdr:colOff>333988</xdr:colOff>
      <xdr:row>100</xdr:row>
      <xdr:rowOff>88218</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45439</xdr:rowOff>
    </xdr:from>
    <xdr:to>
      <xdr:col>8</xdr:col>
      <xdr:colOff>353288</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389491</xdr:colOff>
      <xdr:row>176</xdr:row>
      <xdr:rowOff>84045</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68638</xdr:rowOff>
    </xdr:from>
    <xdr:to>
      <xdr:col>8</xdr:col>
      <xdr:colOff>87374</xdr:colOff>
      <xdr:row>26</xdr:row>
      <xdr:rowOff>141335</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124989</xdr:colOff>
      <xdr:row>100</xdr:row>
      <xdr:rowOff>92464</xdr:rowOff>
    </xdr:from>
    <xdr:to>
      <xdr:col>10</xdr:col>
      <xdr:colOff>678240</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202031</xdr:colOff>
      <xdr:row>63</xdr:row>
      <xdr:rowOff>65541</xdr:rowOff>
    </xdr:from>
    <xdr:to>
      <xdr:col>10</xdr:col>
      <xdr:colOff>960158</xdr:colOff>
      <xdr:row>86</xdr:row>
      <xdr:rowOff>49741</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144718</xdr:rowOff>
    </xdr:from>
    <xdr:to>
      <xdr:col>10</xdr:col>
      <xdr:colOff>770048</xdr:colOff>
      <xdr:row>43</xdr:row>
      <xdr:rowOff>139700</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333774</xdr:colOff>
      <xdr:row>58</xdr:row>
      <xdr:rowOff>39621</xdr:rowOff>
    </xdr:from>
    <xdr:to>
      <xdr:col>8</xdr:col>
      <xdr:colOff>116329</xdr:colOff>
      <xdr:row>62</xdr:row>
      <xdr:rowOff>121842</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25745</xdr:rowOff>
    </xdr:from>
    <xdr:to>
      <xdr:col>8</xdr:col>
      <xdr:colOff>73699</xdr:colOff>
      <xdr:row>100</xdr:row>
      <xdr:rowOff>103035</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560131</xdr:colOff>
      <xdr:row>20</xdr:row>
      <xdr:rowOff>79223</xdr:rowOff>
    </xdr:from>
    <xdr:to>
      <xdr:col>8</xdr:col>
      <xdr:colOff>297921</xdr:colOff>
      <xdr:row>25</xdr:row>
      <xdr:rowOff>6927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28201</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352502</xdr:colOff>
      <xdr:row>252</xdr:row>
      <xdr:rowOff>124209</xdr:rowOff>
    </xdr:from>
    <xdr:to>
      <xdr:col>11</xdr:col>
      <xdr:colOff>145</xdr:colOff>
      <xdr:row>277</xdr:row>
      <xdr:rowOff>28574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370494</xdr:colOff>
      <xdr:row>215</xdr:row>
      <xdr:rowOff>10582</xdr:rowOff>
    </xdr:from>
    <xdr:to>
      <xdr:col>11</xdr:col>
      <xdr:colOff>7553</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352502</xdr:colOff>
      <xdr:row>175</xdr:row>
      <xdr:rowOff>115969</xdr:rowOff>
    </xdr:from>
    <xdr:to>
      <xdr:col>10</xdr:col>
      <xdr:colOff>961111</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352015</xdr:colOff>
      <xdr:row>139</xdr:row>
      <xdr:rowOff>126495</xdr:rowOff>
    </xdr:from>
    <xdr:to>
      <xdr:col>12</xdr:col>
      <xdr:colOff>114300</xdr:colOff>
      <xdr:row>160</xdr:row>
      <xdr:rowOff>87539</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11686</xdr:colOff>
      <xdr:row>100</xdr:row>
      <xdr:rowOff>124212</xdr:rowOff>
    </xdr:from>
    <xdr:to>
      <xdr:col>17</xdr:col>
      <xdr:colOff>240242</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353560</xdr:colOff>
      <xdr:row>62</xdr:row>
      <xdr:rowOff>76126</xdr:rowOff>
    </xdr:from>
    <xdr:to>
      <xdr:col>11</xdr:col>
      <xdr:colOff>742950</xdr:colOff>
      <xdr:row>89</xdr:row>
      <xdr:rowOff>125264</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962416</xdr:colOff>
      <xdr:row>49</xdr:row>
      <xdr:rowOff>123825</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526328</xdr:colOff>
      <xdr:row>57</xdr:row>
      <xdr:rowOff>140162</xdr:rowOff>
    </xdr:from>
    <xdr:to>
      <xdr:col>8</xdr:col>
      <xdr:colOff>312059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543281</xdr:colOff>
      <xdr:row>95</xdr:row>
      <xdr:rowOff>143220</xdr:rowOff>
    </xdr:from>
    <xdr:to>
      <xdr:col>8</xdr:col>
      <xdr:colOff>274721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27446</xdr:rowOff>
    </xdr:from>
    <xdr:to>
      <xdr:col>8</xdr:col>
      <xdr:colOff>332121</xdr:colOff>
      <xdr:row>139</xdr:row>
      <xdr:rowOff>121550</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541319</xdr:colOff>
      <xdr:row>171</xdr:row>
      <xdr:rowOff>87548</xdr:rowOff>
    </xdr:from>
    <xdr:to>
      <xdr:col>8</xdr:col>
      <xdr:colOff>333400</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541627</xdr:colOff>
      <xdr:row>210</xdr:row>
      <xdr:rowOff>40541</xdr:rowOff>
    </xdr:from>
    <xdr:to>
      <xdr:col>8</xdr:col>
      <xdr:colOff>333708</xdr:colOff>
      <xdr:row>214</xdr:row>
      <xdr:rowOff>121005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578864</xdr:colOff>
      <xdr:row>248</xdr:row>
      <xdr:rowOff>65000</xdr:rowOff>
    </xdr:from>
    <xdr:to>
      <xdr:col>8</xdr:col>
      <xdr:colOff>307129</xdr:colOff>
      <xdr:row>253</xdr:row>
      <xdr:rowOff>10938</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352774</xdr:colOff>
      <xdr:row>290</xdr:row>
      <xdr:rowOff>121509</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351180</xdr:colOff>
      <xdr:row>328</xdr:row>
      <xdr:rowOff>59204</xdr:rowOff>
    </xdr:from>
    <xdr:to>
      <xdr:col>14</xdr:col>
      <xdr:colOff>783442</xdr:colOff>
      <xdr:row>359</xdr:row>
      <xdr:rowOff>197910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788513</xdr:colOff>
      <xdr:row>397</xdr:row>
      <xdr:rowOff>66375</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544741</xdr:colOff>
      <xdr:row>361</xdr:row>
      <xdr:rowOff>143871</xdr:rowOff>
    </xdr:from>
    <xdr:to>
      <xdr:col>8</xdr:col>
      <xdr:colOff>333624</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788513</xdr:colOff>
      <xdr:row>435</xdr:row>
      <xdr:rowOff>10410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334705</xdr:colOff>
      <xdr:row>404</xdr:row>
      <xdr:rowOff>124556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11709</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334705</xdr:colOff>
      <xdr:row>442</xdr:row>
      <xdr:rowOff>124556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11709</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334705</xdr:colOff>
      <xdr:row>480</xdr:row>
      <xdr:rowOff>124556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11709</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334705</xdr:colOff>
      <xdr:row>518</xdr:row>
      <xdr:rowOff>124556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11709</xdr:colOff>
      <xdr:row>576</xdr:row>
      <xdr:rowOff>45508</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334705</xdr:colOff>
      <xdr:row>556</xdr:row>
      <xdr:rowOff>124556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11709</xdr:colOff>
      <xdr:row>616</xdr:row>
      <xdr:rowOff>9671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334705</xdr:colOff>
      <xdr:row>594</xdr:row>
      <xdr:rowOff>124556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11709</xdr:colOff>
      <xdr:row>650</xdr:row>
      <xdr:rowOff>105670</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334705</xdr:colOff>
      <xdr:row>632</xdr:row>
      <xdr:rowOff>124556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11709</xdr:colOff>
      <xdr:row>691</xdr:row>
      <xdr:rowOff>68663</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334705</xdr:colOff>
      <xdr:row>670</xdr:row>
      <xdr:rowOff>124556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65988</xdr:rowOff>
    </xdr:from>
    <xdr:to>
      <xdr:col>11</xdr:col>
      <xdr:colOff>11709</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506641</xdr:colOff>
      <xdr:row>704</xdr:row>
      <xdr:rowOff>50613</xdr:rowOff>
    </xdr:from>
    <xdr:to>
      <xdr:col>8</xdr:col>
      <xdr:colOff>292372</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7408</xdr:rowOff>
    </xdr:from>
    <xdr:to>
      <xdr:col>8</xdr:col>
      <xdr:colOff>332889</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578123</xdr:colOff>
      <xdr:row>20</xdr:row>
      <xdr:rowOff>104622</xdr:rowOff>
    </xdr:from>
    <xdr:to>
      <xdr:col>8</xdr:col>
      <xdr:colOff>315913</xdr:colOff>
      <xdr:row>25</xdr:row>
      <xdr:rowOff>48201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49071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371552</xdr:colOff>
      <xdr:row>62</xdr:row>
      <xdr:rowOff>145975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807524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464945</xdr:colOff>
      <xdr:row>58</xdr:row>
      <xdr:rowOff>11046</xdr:rowOff>
    </xdr:from>
    <xdr:to>
      <xdr:col>8</xdr:col>
      <xdr:colOff>257026</xdr:colOff>
      <xdr:row>62</xdr:row>
      <xdr:rowOff>83743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561273</xdr:colOff>
      <xdr:row>95</xdr:row>
      <xdr:rowOff>125228</xdr:rowOff>
    </xdr:from>
    <xdr:to>
      <xdr:col>8</xdr:col>
      <xdr:colOff>292713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30692</xdr:colOff>
      <xdr:row>328</xdr:row>
      <xdr:rowOff>140153</xdr:rowOff>
    </xdr:from>
    <xdr:to>
      <xdr:col>11</xdr:col>
      <xdr:colOff>811280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68956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86403</xdr:rowOff>
    </xdr:from>
    <xdr:to>
      <xdr:col>11</xdr:col>
      <xdr:colOff>10650</xdr:colOff>
      <xdr:row>265</xdr:row>
      <xdr:rowOff>106563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525366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86118</xdr:rowOff>
    </xdr:from>
    <xdr:to>
      <xdr:col>8</xdr:col>
      <xdr:colOff>354797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104227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102690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601406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215902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10584</xdr:colOff>
      <xdr:row>708</xdr:row>
      <xdr:rowOff>45837</xdr:rowOff>
    </xdr:from>
    <xdr:to>
      <xdr:col>12</xdr:col>
      <xdr:colOff>524934</xdr:colOff>
      <xdr:row>739</xdr:row>
      <xdr:rowOff>239183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6957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47995</xdr:rowOff>
    </xdr:from>
    <xdr:to>
      <xdr:col>11</xdr:col>
      <xdr:colOff>50416</xdr:colOff>
      <xdr:row>623</xdr:row>
      <xdr:rowOff>46566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85319</xdr:rowOff>
    </xdr:from>
    <xdr:to>
      <xdr:col>11</xdr:col>
      <xdr:colOff>50416</xdr:colOff>
      <xdr:row>584</xdr:row>
      <xdr:rowOff>28287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50416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959601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11316</xdr:rowOff>
    </xdr:from>
    <xdr:to>
      <xdr:col>11</xdr:col>
      <xdr:colOff>30006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69549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30996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30996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6957</xdr:colOff>
      <xdr:row>177</xdr:row>
      <xdr:rowOff>10448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8112</xdr:rowOff>
    </xdr:from>
    <xdr:to>
      <xdr:col>11</xdr:col>
      <xdr:colOff>63739</xdr:colOff>
      <xdr:row>157</xdr:row>
      <xdr:rowOff>143933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47517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46644</xdr:colOff>
      <xdr:row>62</xdr:row>
      <xdr:rowOff>84743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143489</xdr:rowOff>
    </xdr:from>
    <xdr:to>
      <xdr:col>8</xdr:col>
      <xdr:colOff>374501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617213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10666</xdr:rowOff>
    </xdr:from>
    <xdr:to>
      <xdr:col>8</xdr:col>
      <xdr:colOff>340285</xdr:colOff>
      <xdr:row>138</xdr:row>
      <xdr:rowOff>84205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50217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293598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50211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122699</xdr:rowOff>
    </xdr:from>
    <xdr:to>
      <xdr:col>8</xdr:col>
      <xdr:colOff>296154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564384</xdr:colOff>
      <xdr:row>400</xdr:row>
      <xdr:rowOff>8697</xdr:rowOff>
    </xdr:from>
    <xdr:to>
      <xdr:col>8</xdr:col>
      <xdr:colOff>295824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540812</xdr:colOff>
      <xdr:row>438</xdr:row>
      <xdr:rowOff>16341</xdr:rowOff>
    </xdr:from>
    <xdr:to>
      <xdr:col>8</xdr:col>
      <xdr:colOff>332893</xdr:colOff>
      <xdr:row>442</xdr:row>
      <xdr:rowOff>85712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293672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122466</xdr:rowOff>
    </xdr:from>
    <xdr:to>
      <xdr:col>8</xdr:col>
      <xdr:colOff>296259</xdr:colOff>
      <xdr:row>518</xdr:row>
      <xdr:rowOff>46876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125158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540344</xdr:colOff>
      <xdr:row>590</xdr:row>
      <xdr:rowOff>131952</xdr:rowOff>
    </xdr:from>
    <xdr:to>
      <xdr:col>8</xdr:col>
      <xdr:colOff>278134</xdr:colOff>
      <xdr:row>595</xdr:row>
      <xdr:rowOff>67671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540344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503335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68489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355147</xdr:colOff>
      <xdr:row>936</xdr:row>
      <xdr:rowOff>86946</xdr:rowOff>
    </xdr:from>
    <xdr:to>
      <xdr:col>11</xdr:col>
      <xdr:colOff>324530</xdr:colOff>
      <xdr:row>959</xdr:row>
      <xdr:rowOff>141816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30696</xdr:colOff>
      <xdr:row>852</xdr:row>
      <xdr:rowOff>46566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104846</xdr:rowOff>
    </xdr:from>
    <xdr:to>
      <xdr:col>11</xdr:col>
      <xdr:colOff>10031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542969</xdr:colOff>
      <xdr:row>742</xdr:row>
      <xdr:rowOff>1058</xdr:rowOff>
    </xdr:from>
    <xdr:to>
      <xdr:col>8</xdr:col>
      <xdr:colOff>276770</xdr:colOff>
      <xdr:row>746</xdr:row>
      <xdr:rowOff>68499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66729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143897</xdr:rowOff>
    </xdr:from>
    <xdr:to>
      <xdr:col>8</xdr:col>
      <xdr:colOff>323532</xdr:colOff>
      <xdr:row>860</xdr:row>
      <xdr:rowOff>105313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102789</xdr:rowOff>
    </xdr:from>
    <xdr:to>
      <xdr:col>8</xdr:col>
      <xdr:colOff>333276</xdr:colOff>
      <xdr:row>936</xdr:row>
      <xdr:rowOff>87915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106356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86355</xdr:rowOff>
    </xdr:from>
    <xdr:to>
      <xdr:col>8</xdr:col>
      <xdr:colOff>294267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545486</xdr:colOff>
      <xdr:row>1236</xdr:row>
      <xdr:rowOff>25984</xdr:rowOff>
    </xdr:from>
    <xdr:to>
      <xdr:col>8</xdr:col>
      <xdr:colOff>294918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579195</xdr:colOff>
      <xdr:row>1273</xdr:row>
      <xdr:rowOff>125452</xdr:rowOff>
    </xdr:from>
    <xdr:to>
      <xdr:col>8</xdr:col>
      <xdr:colOff>325696</xdr:colOff>
      <xdr:row>1278</xdr:row>
      <xdr:rowOff>6356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503417</xdr:colOff>
      <xdr:row>1312</xdr:row>
      <xdr:rowOff>38906</xdr:rowOff>
    </xdr:from>
    <xdr:to>
      <xdr:col>8</xdr:col>
      <xdr:colOff>278249</xdr:colOff>
      <xdr:row>1316</xdr:row>
      <xdr:rowOff>139717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563742</xdr:colOff>
      <xdr:row>1349</xdr:row>
      <xdr:rowOff>101779</xdr:rowOff>
    </xdr:from>
    <xdr:to>
      <xdr:col>8</xdr:col>
      <xdr:colOff>313174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332623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141007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29879</xdr:colOff>
      <xdr:row>1106</xdr:row>
      <xdr:rowOff>154679</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67680</xdr:rowOff>
    </xdr:from>
    <xdr:to>
      <xdr:col>11</xdr:col>
      <xdr:colOff>29973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12437</xdr:colOff>
      <xdr:row>1241</xdr:row>
      <xdr:rowOff>122864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46567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315118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29368</xdr:colOff>
      <xdr:row>1355</xdr:row>
      <xdr:rowOff>1194</xdr:rowOff>
    </xdr:from>
    <xdr:to>
      <xdr:col>11</xdr:col>
      <xdr:colOff>86036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10079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315716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564127</xdr:colOff>
      <xdr:row>1464</xdr:row>
      <xdr:rowOff>10650</xdr:rowOff>
    </xdr:from>
    <xdr:to>
      <xdr:col>8</xdr:col>
      <xdr:colOff>314642</xdr:colOff>
      <xdr:row>1468</xdr:row>
      <xdr:rowOff>144730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296866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944562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30162</xdr:colOff>
      <xdr:row>1506</xdr:row>
      <xdr:rowOff>121907</xdr:rowOff>
    </xdr:from>
    <xdr:to>
      <xdr:col>11</xdr:col>
      <xdr:colOff>2268</xdr:colOff>
      <xdr:row>1523</xdr:row>
      <xdr:rowOff>48684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887413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922338</xdr:colOff>
      <xdr:row>1671</xdr:row>
      <xdr:rowOff>45605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123506</xdr:rowOff>
    </xdr:from>
    <xdr:to>
      <xdr:col>12</xdr:col>
      <xdr:colOff>539751</xdr:colOff>
      <xdr:row>1762</xdr:row>
      <xdr:rowOff>120650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12020</xdr:colOff>
      <xdr:row>1772</xdr:row>
      <xdr:rowOff>121314</xdr:rowOff>
    </xdr:from>
    <xdr:to>
      <xdr:col>10</xdr:col>
      <xdr:colOff>854546</xdr:colOff>
      <xdr:row>1799</xdr:row>
      <xdr:rowOff>120650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7518</xdr:colOff>
      <xdr:row>1810</xdr:row>
      <xdr:rowOff>145846</xdr:rowOff>
    </xdr:from>
    <xdr:to>
      <xdr:col>10</xdr:col>
      <xdr:colOff>962025</xdr:colOff>
      <xdr:row>1841</xdr:row>
      <xdr:rowOff>120650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68253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6350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30163</xdr:colOff>
      <xdr:row>1012</xdr:row>
      <xdr:rowOff>47745</xdr:rowOff>
    </xdr:from>
    <xdr:to>
      <xdr:col>11</xdr:col>
      <xdr:colOff>107528</xdr:colOff>
      <xdr:row>1025</xdr:row>
      <xdr:rowOff>10946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601663</xdr:colOff>
      <xdr:row>1046</xdr:row>
      <xdr:rowOff>6350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30163</xdr:colOff>
      <xdr:row>1126</xdr:row>
      <xdr:rowOff>78645</xdr:rowOff>
    </xdr:from>
    <xdr:to>
      <xdr:col>11</xdr:col>
      <xdr:colOff>40084</xdr:colOff>
      <xdr:row>1142</xdr:row>
      <xdr:rowOff>141816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86455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87954</xdr:rowOff>
    </xdr:from>
    <xdr:to>
      <xdr:col>10</xdr:col>
      <xdr:colOff>903288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30163</xdr:colOff>
      <xdr:row>1544</xdr:row>
      <xdr:rowOff>140051</xdr:rowOff>
    </xdr:from>
    <xdr:to>
      <xdr:col>10</xdr:col>
      <xdr:colOff>827088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126022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352954</xdr:colOff>
      <xdr:row>1582</xdr:row>
      <xdr:rowOff>144991</xdr:rowOff>
    </xdr:from>
    <xdr:to>
      <xdr:col>14</xdr:col>
      <xdr:colOff>579581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541338</xdr:colOff>
      <xdr:row>1729</xdr:row>
      <xdr:rowOff>133350</xdr:rowOff>
    </xdr:from>
    <xdr:to>
      <xdr:col>8</xdr:col>
      <xdr:colOff>273888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103704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296693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335152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390606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312341</xdr:colOff>
      <xdr:row>1887</xdr:row>
      <xdr:rowOff>45819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598231</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123926</xdr:rowOff>
    </xdr:from>
    <xdr:to>
      <xdr:col>11</xdr:col>
      <xdr:colOff>9764</xdr:colOff>
      <xdr:row>158</xdr:row>
      <xdr:rowOff>48780</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352317</xdr:colOff>
      <xdr:row>100</xdr:row>
      <xdr:rowOff>83240</xdr:rowOff>
    </xdr:from>
    <xdr:to>
      <xdr:col>10</xdr:col>
      <xdr:colOff>955309</xdr:colOff>
      <xdr:row>115</xdr:row>
      <xdr:rowOff>159038</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8544</xdr:colOff>
      <xdr:row>63</xdr:row>
      <xdr:rowOff>86104</xdr:rowOff>
    </xdr:from>
    <xdr:to>
      <xdr:col>11</xdr:col>
      <xdr:colOff>20253</xdr:colOff>
      <xdr:row>87</xdr:row>
      <xdr:rowOff>105289</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658620</xdr:colOff>
      <xdr:row>58</xdr:row>
      <xdr:rowOff>144396</xdr:rowOff>
    </xdr:from>
    <xdr:to>
      <xdr:col>8</xdr:col>
      <xdr:colOff>450701</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579113</xdr:colOff>
      <xdr:row>96</xdr:row>
      <xdr:rowOff>1706</xdr:rowOff>
    </xdr:from>
    <xdr:to>
      <xdr:col>8</xdr:col>
      <xdr:colOff>316903</xdr:colOff>
      <xdr:row>100</xdr:row>
      <xdr:rowOff>88521</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11724</xdr:rowOff>
    </xdr:from>
    <xdr:to>
      <xdr:col>8</xdr:col>
      <xdr:colOff>330760</xdr:colOff>
      <xdr:row>138</xdr:row>
      <xdr:rowOff>88893</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336549</xdr:colOff>
      <xdr:row>24</xdr:row>
      <xdr:rowOff>68984</xdr:rowOff>
    </xdr:from>
    <xdr:to>
      <xdr:col>19</xdr:col>
      <xdr:colOff>336549</xdr:colOff>
      <xdr:row>55</xdr:row>
      <xdr:rowOff>257175</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101600</xdr:rowOff>
    </xdr:from>
    <xdr:to>
      <xdr:col>8</xdr:col>
      <xdr:colOff>104864</xdr:colOff>
      <xdr:row>1429</xdr:row>
      <xdr:rowOff>120713</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257175</xdr:colOff>
      <xdr:row>1430</xdr:row>
      <xdr:rowOff>12626</xdr:rowOff>
    </xdr:from>
    <xdr:to>
      <xdr:col>10</xdr:col>
      <xdr:colOff>826407</xdr:colOff>
      <xdr:row>1445</xdr:row>
      <xdr:rowOff>67970</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350181</xdr:colOff>
      <xdr:row>1463</xdr:row>
      <xdr:rowOff>85725</xdr:rowOff>
    </xdr:from>
    <xdr:to>
      <xdr:col>8</xdr:col>
      <xdr:colOff>96613</xdr:colOff>
      <xdr:row>1467</xdr:row>
      <xdr:rowOff>104598</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142777</xdr:rowOff>
    </xdr:from>
    <xdr:to>
      <xdr:col>10</xdr:col>
      <xdr:colOff>806450</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429556</xdr:colOff>
      <xdr:row>1501</xdr:row>
      <xdr:rowOff>139700</xdr:rowOff>
    </xdr:from>
    <xdr:to>
      <xdr:col>8</xdr:col>
      <xdr:colOff>179163</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273050</xdr:colOff>
      <xdr:row>1506</xdr:row>
      <xdr:rowOff>21042</xdr:rowOff>
    </xdr:from>
    <xdr:to>
      <xdr:col>10</xdr:col>
      <xdr:colOff>828675</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389048</xdr:colOff>
      <xdr:row>1539</xdr:row>
      <xdr:rowOff>85725</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273050</xdr:colOff>
      <xdr:row>1544</xdr:row>
      <xdr:rowOff>15877</xdr:rowOff>
    </xdr:from>
    <xdr:to>
      <xdr:col>10</xdr:col>
      <xdr:colOff>764646</xdr:colOff>
      <xdr:row>1559</xdr:row>
      <xdr:rowOff>83416</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66674</xdr:colOff>
      <xdr:row>1582</xdr:row>
      <xdr:rowOff>45437</xdr:rowOff>
    </xdr:from>
    <xdr:to>
      <xdr:col>11</xdr:col>
      <xdr:colOff>790574</xdr:colOff>
      <xdr:row>1611</xdr:row>
      <xdr:rowOff>123825</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28331</xdr:rowOff>
    </xdr:from>
    <xdr:to>
      <xdr:col>10</xdr:col>
      <xdr:colOff>845701</xdr:colOff>
      <xdr:row>1648</xdr:row>
      <xdr:rowOff>2500</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124619</xdr:rowOff>
    </xdr:from>
    <xdr:to>
      <xdr:col>8</xdr:col>
      <xdr:colOff>250131</xdr:colOff>
      <xdr:row>1620</xdr:row>
      <xdr:rowOff>46637</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142875</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234950</xdr:colOff>
      <xdr:row>1659</xdr:row>
      <xdr:rowOff>58574</xdr:rowOff>
    </xdr:from>
    <xdr:to>
      <xdr:col>10</xdr:col>
      <xdr:colOff>673519</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10275</xdr:colOff>
      <xdr:row>670</xdr:row>
      <xdr:rowOff>44901</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86316</xdr:rowOff>
    </xdr:from>
    <xdr:to>
      <xdr:col>11</xdr:col>
      <xdr:colOff>171450</xdr:colOff>
      <xdr:row>739</xdr:row>
      <xdr:rowOff>161925</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9602</xdr:colOff>
      <xdr:row>746</xdr:row>
      <xdr:rowOff>106098</xdr:rowOff>
    </xdr:from>
    <xdr:to>
      <xdr:col>11</xdr:col>
      <xdr:colOff>600075</xdr:colOff>
      <xdr:row>775</xdr:row>
      <xdr:rowOff>45509</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7484</xdr:colOff>
      <xdr:row>937</xdr:row>
      <xdr:rowOff>121114</xdr:rowOff>
    </xdr:from>
    <xdr:to>
      <xdr:col>11</xdr:col>
      <xdr:colOff>332467</xdr:colOff>
      <xdr:row>957</xdr:row>
      <xdr:rowOff>82550</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334814</xdr:colOff>
      <xdr:row>821</xdr:row>
      <xdr:rowOff>165066</xdr:rowOff>
    </xdr:from>
    <xdr:to>
      <xdr:col>10</xdr:col>
      <xdr:colOff>962558</xdr:colOff>
      <xdr:row>847</xdr:row>
      <xdr:rowOff>144992</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142947</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313282</xdr:colOff>
      <xdr:row>746</xdr:row>
      <xdr:rowOff>87776</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545499</xdr:colOff>
      <xdr:row>780</xdr:row>
      <xdr:rowOff>2604</xdr:rowOff>
    </xdr:from>
    <xdr:to>
      <xdr:col>8</xdr:col>
      <xdr:colOff>279300</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545393</xdr:colOff>
      <xdr:row>817</xdr:row>
      <xdr:rowOff>143232</xdr:rowOff>
    </xdr:from>
    <xdr:to>
      <xdr:col>8</xdr:col>
      <xdr:colOff>342450</xdr:colOff>
      <xdr:row>821</xdr:row>
      <xdr:rowOff>104294</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565104</xdr:colOff>
      <xdr:row>856</xdr:row>
      <xdr:rowOff>7977</xdr:rowOff>
    </xdr:from>
    <xdr:to>
      <xdr:col>8</xdr:col>
      <xdr:colOff>350519</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619459</xdr:colOff>
      <xdr:row>893</xdr:row>
      <xdr:rowOff>106111</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88275</xdr:rowOff>
    </xdr:from>
    <xdr:to>
      <xdr:col>8</xdr:col>
      <xdr:colOff>430113</xdr:colOff>
      <xdr:row>936</xdr:row>
      <xdr:rowOff>140076</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8877</xdr:rowOff>
    </xdr:from>
    <xdr:to>
      <xdr:col>8</xdr:col>
      <xdr:colOff>316197</xdr:colOff>
      <xdr:row>1012</xdr:row>
      <xdr:rowOff>84481</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525945</xdr:colOff>
      <xdr:row>1045</xdr:row>
      <xdr:rowOff>134175</xdr:rowOff>
    </xdr:from>
    <xdr:to>
      <xdr:col>8</xdr:col>
      <xdr:colOff>294427</xdr:colOff>
      <xdr:row>1049</xdr:row>
      <xdr:rowOff>160856</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482678</xdr:colOff>
      <xdr:row>1083</xdr:row>
      <xdr:rowOff>116593</xdr:rowOff>
    </xdr:from>
    <xdr:to>
      <xdr:col>8</xdr:col>
      <xdr:colOff>245054</xdr:colOff>
      <xdr:row>1087</xdr:row>
      <xdr:rowOff>158887</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562382</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11923</xdr:rowOff>
    </xdr:from>
    <xdr:to>
      <xdr:col>8</xdr:col>
      <xdr:colOff>331430</xdr:colOff>
      <xdr:row>1164</xdr:row>
      <xdr:rowOff>101959</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292358</xdr:colOff>
      <xdr:row>1201</xdr:row>
      <xdr:rowOff>105840</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505004</xdr:colOff>
      <xdr:row>1236</xdr:row>
      <xdr:rowOff>7004</xdr:rowOff>
    </xdr:from>
    <xdr:to>
      <xdr:col>8</xdr:col>
      <xdr:colOff>273486</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466904</xdr:colOff>
      <xdr:row>1274</xdr:row>
      <xdr:rowOff>44780</xdr:rowOff>
    </xdr:from>
    <xdr:to>
      <xdr:col>8</xdr:col>
      <xdr:colOff>235386</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449338</xdr:colOff>
      <xdr:row>891</xdr:row>
      <xdr:rowOff>31461</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66185</xdr:rowOff>
    </xdr:from>
    <xdr:to>
      <xdr:col>18</xdr:col>
      <xdr:colOff>483205</xdr:colOff>
      <xdr:row>929</xdr:row>
      <xdr:rowOff>124403</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355147</xdr:colOff>
      <xdr:row>1012</xdr:row>
      <xdr:rowOff>88468</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50516</xdr:colOff>
      <xdr:row>1066</xdr:row>
      <xdr:rowOff>159038</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30224</xdr:rowOff>
    </xdr:from>
    <xdr:to>
      <xdr:col>11</xdr:col>
      <xdr:colOff>47618</xdr:colOff>
      <xdr:row>1104</xdr:row>
      <xdr:rowOff>124402</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106686</xdr:rowOff>
    </xdr:from>
    <xdr:to>
      <xdr:col>11</xdr:col>
      <xdr:colOff>41085</xdr:colOff>
      <xdr:row>1141</xdr:row>
      <xdr:rowOff>48780</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332581</xdr:colOff>
      <xdr:row>1164</xdr:row>
      <xdr:rowOff>124073</xdr:rowOff>
    </xdr:from>
    <xdr:to>
      <xdr:col>11</xdr:col>
      <xdr:colOff>17591</xdr:colOff>
      <xdr:row>1180</xdr:row>
      <xdr:rowOff>48779</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7407</xdr:colOff>
      <xdr:row>1202</xdr:row>
      <xdr:rowOff>31204</xdr:rowOff>
    </xdr:from>
    <xdr:to>
      <xdr:col>11</xdr:col>
      <xdr:colOff>124403</xdr:colOff>
      <xdr:row>1232</xdr:row>
      <xdr:rowOff>159038</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48139</xdr:rowOff>
    </xdr:from>
    <xdr:to>
      <xdr:col>11</xdr:col>
      <xdr:colOff>67072</xdr:colOff>
      <xdr:row>1254</xdr:row>
      <xdr:rowOff>124402</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335755</xdr:colOff>
      <xdr:row>1279</xdr:row>
      <xdr:rowOff>17974</xdr:rowOff>
    </xdr:from>
    <xdr:to>
      <xdr:col>11</xdr:col>
      <xdr:colOff>11423</xdr:colOff>
      <xdr:row>1304</xdr:row>
      <xdr:rowOff>48779</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10759</xdr:colOff>
      <xdr:row>1316</xdr:row>
      <xdr:rowOff>64761</xdr:rowOff>
    </xdr:from>
    <xdr:to>
      <xdr:col>10</xdr:col>
      <xdr:colOff>618756</xdr:colOff>
      <xdr:row>1328</xdr:row>
      <xdr:rowOff>141720</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466246</xdr:colOff>
      <xdr:row>1312</xdr:row>
      <xdr:rowOff>30163</xdr:rowOff>
    </xdr:from>
    <xdr:to>
      <xdr:col>8</xdr:col>
      <xdr:colOff>219936</xdr:colOff>
      <xdr:row>1316</xdr:row>
      <xdr:rowOff>64761</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542925</xdr:colOff>
      <xdr:row>970</xdr:row>
      <xdr:rowOff>36512</xdr:rowOff>
    </xdr:from>
    <xdr:to>
      <xdr:col>8</xdr:col>
      <xdr:colOff>311407</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349250</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450507</xdr:colOff>
      <xdr:row>1388</xdr:row>
      <xdr:rowOff>112250</xdr:rowOff>
    </xdr:from>
    <xdr:to>
      <xdr:col>8</xdr:col>
      <xdr:colOff>206464</xdr:colOff>
      <xdr:row>1392</xdr:row>
      <xdr:rowOff>140648</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257175</xdr:colOff>
      <xdr:row>1393</xdr:row>
      <xdr:rowOff>16604</xdr:rowOff>
    </xdr:from>
    <xdr:to>
      <xdr:col>10</xdr:col>
      <xdr:colOff>866774</xdr:colOff>
      <xdr:row>1405</xdr:row>
      <xdr:rowOff>48781</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10848</xdr:rowOff>
    </xdr:from>
    <xdr:to>
      <xdr:col>10</xdr:col>
      <xdr:colOff>847725</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47625</xdr:rowOff>
    </xdr:from>
    <xdr:to>
      <xdr:col>8</xdr:col>
      <xdr:colOff>235540</xdr:colOff>
      <xdr:row>1353</xdr:row>
      <xdr:rowOff>142699</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6812</xdr:colOff>
      <xdr:row>632</xdr:row>
      <xdr:rowOff>104481</xdr:rowOff>
    </xdr:from>
    <xdr:to>
      <xdr:col>11</xdr:col>
      <xdr:colOff>10728</xdr:colOff>
      <xdr:row>661</xdr:row>
      <xdr:rowOff>107084</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8544</xdr:colOff>
      <xdr:row>594</xdr:row>
      <xdr:rowOff>76722</xdr:rowOff>
    </xdr:from>
    <xdr:to>
      <xdr:col>11</xdr:col>
      <xdr:colOff>26603</xdr:colOff>
      <xdr:row>622</xdr:row>
      <xdr:rowOff>7408</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6812</xdr:colOff>
      <xdr:row>556</xdr:row>
      <xdr:rowOff>116765</xdr:rowOff>
    </xdr:from>
    <xdr:to>
      <xdr:col>11</xdr:col>
      <xdr:colOff>10728</xdr:colOff>
      <xdr:row>583</xdr:row>
      <xdr:rowOff>66097</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8544</xdr:colOff>
      <xdr:row>518</xdr:row>
      <xdr:rowOff>87340</xdr:rowOff>
    </xdr:from>
    <xdr:to>
      <xdr:col>11</xdr:col>
      <xdr:colOff>26603</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46675</xdr:rowOff>
    </xdr:from>
    <xdr:to>
      <xdr:col>11</xdr:col>
      <xdr:colOff>10275</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104125</xdr:rowOff>
    </xdr:from>
    <xdr:to>
      <xdr:col>11</xdr:col>
      <xdr:colOff>9367</xdr:colOff>
      <xdr:row>466</xdr:row>
      <xdr:rowOff>123825</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9368</xdr:colOff>
      <xdr:row>423</xdr:row>
      <xdr:rowOff>139700</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8544</xdr:colOff>
      <xdr:row>366</xdr:row>
      <xdr:rowOff>73645</xdr:rowOff>
    </xdr:from>
    <xdr:to>
      <xdr:col>11</xdr:col>
      <xdr:colOff>26603</xdr:colOff>
      <xdr:row>392</xdr:row>
      <xdr:rowOff>48778</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143195</xdr:rowOff>
    </xdr:from>
    <xdr:to>
      <xdr:col>10</xdr:col>
      <xdr:colOff>964588</xdr:colOff>
      <xdr:row>343</xdr:row>
      <xdr:rowOff>87584</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122554</xdr:rowOff>
    </xdr:from>
    <xdr:to>
      <xdr:col>10</xdr:col>
      <xdr:colOff>968670</xdr:colOff>
      <xdr:row>310</xdr:row>
      <xdr:rowOff>144990</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350083</xdr:colOff>
      <xdr:row>252</xdr:row>
      <xdr:rowOff>111810</xdr:rowOff>
    </xdr:from>
    <xdr:to>
      <xdr:col>10</xdr:col>
      <xdr:colOff>961867</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334208</xdr:colOff>
      <xdr:row>215</xdr:row>
      <xdr:rowOff>28054</xdr:rowOff>
    </xdr:from>
    <xdr:to>
      <xdr:col>10</xdr:col>
      <xdr:colOff>955517</xdr:colOff>
      <xdr:row>231</xdr:row>
      <xdr:rowOff>6941</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294294</xdr:colOff>
      <xdr:row>177</xdr:row>
      <xdr:rowOff>106907</xdr:rowOff>
    </xdr:from>
    <xdr:to>
      <xdr:col>11</xdr:col>
      <xdr:colOff>6350</xdr:colOff>
      <xdr:row>190</xdr:row>
      <xdr:rowOff>159038</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7430</xdr:rowOff>
    </xdr:from>
    <xdr:to>
      <xdr:col>8</xdr:col>
      <xdr:colOff>341116</xdr:colOff>
      <xdr:row>177</xdr:row>
      <xdr:rowOff>84719</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563745</xdr:colOff>
      <xdr:row>210</xdr:row>
      <xdr:rowOff>48218</xdr:rowOff>
    </xdr:from>
    <xdr:to>
      <xdr:col>8</xdr:col>
      <xdr:colOff>295185</xdr:colOff>
      <xdr:row>214</xdr:row>
      <xdr:rowOff>140811</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564624</xdr:colOff>
      <xdr:row>248</xdr:row>
      <xdr:rowOff>46695</xdr:rowOff>
    </xdr:from>
    <xdr:to>
      <xdr:col>8</xdr:col>
      <xdr:colOff>350355</xdr:colOff>
      <xdr:row>252</xdr:row>
      <xdr:rowOff>123625</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600441</xdr:colOff>
      <xdr:row>324</xdr:row>
      <xdr:rowOff>73446</xdr:rowOff>
    </xdr:from>
    <xdr:to>
      <xdr:col>8</xdr:col>
      <xdr:colOff>331881</xdr:colOff>
      <xdr:row>329</xdr:row>
      <xdr:rowOff>7381</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335841</xdr:colOff>
      <xdr:row>366</xdr:row>
      <xdr:rowOff>88084</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578671</xdr:colOff>
      <xdr:row>400</xdr:row>
      <xdr:rowOff>8697</xdr:rowOff>
    </xdr:from>
    <xdr:to>
      <xdr:col>8</xdr:col>
      <xdr:colOff>306936</xdr:colOff>
      <xdr:row>404</xdr:row>
      <xdr:rowOff>104676</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353530</xdr:colOff>
      <xdr:row>442</xdr:row>
      <xdr:rowOff>67569</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580753</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8620</xdr:rowOff>
    </xdr:from>
    <xdr:to>
      <xdr:col>8</xdr:col>
      <xdr:colOff>354996</xdr:colOff>
      <xdr:row>518</xdr:row>
      <xdr:rowOff>88151</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564156</xdr:colOff>
      <xdr:row>551</xdr:row>
      <xdr:rowOff>142722</xdr:rowOff>
    </xdr:from>
    <xdr:to>
      <xdr:col>8</xdr:col>
      <xdr:colOff>295596</xdr:colOff>
      <xdr:row>556</xdr:row>
      <xdr:rowOff>83127</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560981</xdr:colOff>
      <xdr:row>590</xdr:row>
      <xdr:rowOff>27328</xdr:rowOff>
    </xdr:from>
    <xdr:to>
      <xdr:col>8</xdr:col>
      <xdr:colOff>292421</xdr:colOff>
      <xdr:row>594</xdr:row>
      <xdr:rowOff>66158</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560981</xdr:colOff>
      <xdr:row>628</xdr:row>
      <xdr:rowOff>54226</xdr:rowOff>
    </xdr:from>
    <xdr:to>
      <xdr:col>8</xdr:col>
      <xdr:colOff>292421</xdr:colOff>
      <xdr:row>632</xdr:row>
      <xdr:rowOff>46661</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579506</xdr:colOff>
      <xdr:row>666</xdr:row>
      <xdr:rowOff>83706</xdr:rowOff>
    </xdr:from>
    <xdr:to>
      <xdr:col>8</xdr:col>
      <xdr:colOff>314121</xdr:colOff>
      <xdr:row>670</xdr:row>
      <xdr:rowOff>31732</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8197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120650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313754</xdr:colOff>
      <xdr:row>138</xdr:row>
      <xdr:rowOff>105680</xdr:rowOff>
    </xdr:from>
    <xdr:to>
      <xdr:col>11</xdr:col>
      <xdr:colOff>10382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28694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86909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44637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503194</xdr:colOff>
      <xdr:row>96</xdr:row>
      <xdr:rowOff>1737</xdr:rowOff>
    </xdr:from>
    <xdr:to>
      <xdr:col>8</xdr:col>
      <xdr:colOff>265703</xdr:colOff>
      <xdr:row>100</xdr:row>
      <xdr:rowOff>27501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84340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145642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559847</xdr:colOff>
      <xdr:row>210</xdr:row>
      <xdr:rowOff>144820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zoomScale="122" zoomScaleNormal="122" workbookViewId="0">
      <selection activeCell="D25" sqref="D21:D25"/>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42</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42</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https://www.bocm.es/</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Inicio/ultimo-bocm</v>
      </c>
      <c r="C20" s="85" t="str" cm="1">
        <f t="array" ref="C20">IFERROR(INDEX('03.Muestra'!$F$8:$F$42,SMALL(IF("Página Web"='03.Muestra'!$D$8:$D$42,ROW('03.Muestra'!$F$8:$F$42)-MIN(ROW('03.Muestra'!$D$8:$D$42))+1,""),ROW()-18)),"")</f>
        <v>https://www.bocm.es/ultimo-bocm</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Inicio/autentificacion-verificacion</v>
      </c>
      <c r="C21" s="85" t="str" cm="1">
        <f t="array" ref="C21">IFERROR(INDEX('03.Muestra'!$F$8:$F$42,SMALL(IF("Página Web"='03.Muestra'!$D$8:$D$42,ROW('03.Muestra'!$F$8:$F$42)-MIN(ROW('03.Muestra'!$D$8:$D$42))+1,""),ROW()-18)),"")</f>
        <v>https://www.bocm.es/autentificacion-verificacion</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Inicio/que-es-bocm</v>
      </c>
      <c r="C22" s="85" t="str" cm="1">
        <f t="array" ref="C22">IFERROR(INDEX('03.Muestra'!$F$8:$F$42,SMALL(IF("Página Web"='03.Muestra'!$D$8:$D$42,ROW('03.Muestra'!$F$8:$F$42)-MIN(ROW('03.Muestra'!$D$8:$D$42))+1,""),ROW()-18)),"")</f>
        <v>https://www.bocm.es/que-es-bocm</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Inicio/organismo-autonomo</v>
      </c>
      <c r="C23" s="85" t="str" cm="1">
        <f t="array" ref="C23">IFERROR(INDEX('03.Muestra'!$F$8:$F$42,SMALL(IF("Página Web"='03.Muestra'!$D$8:$D$42,ROW('03.Muestra'!$F$8:$F$42)-MIN(ROW('03.Muestra'!$D$8:$D$42))+1,""),ROW()-18)),"")</f>
        <v>https://www.bocm.es/organismo-autonomo</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Inicio/s/publicar-anuncio</v>
      </c>
      <c r="C24" s="85" t="str" cm="1">
        <f t="array" ref="C24">IFERROR(INDEX('03.Muestra'!$F$8:$F$42,SMALL(IF("Página Web"='03.Muestra'!$D$8:$D$42,ROW('03.Muestra'!$F$8:$F$42)-MIN(ROW('03.Muestra'!$D$8:$D$42))+1,""),ROW()-18)),"")</f>
        <v>https://www.bocm.es/publicar-anuncio</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Inicio/declaracion-de-accesibilidad</v>
      </c>
      <c r="C25" s="85" t="str" cm="1">
        <f t="array" ref="C25">IFERROR(INDEX('03.Muestra'!$F$8:$F$42,SMALL(IF("Página Web"='03.Muestra'!$D$8:$D$42,ROW('03.Muestra'!$F$8:$F$42)-MIN(ROW('03.Muestra'!$D$8:$D$42))+1,""),ROW()-18)),"")</f>
        <v>https://www.bocm.es/declaracion-de-accesibilidad</v>
      </c>
      <c r="D25" s="99" t="s">
        <v>104</v>
      </c>
      <c r="E25" s="79" t="str">
        <f t="shared" si="0"/>
        <v/>
      </c>
      <c r="F25" s="18"/>
      <c r="G25" s="18"/>
      <c r="H25" s="18"/>
      <c r="I25" s="18"/>
      <c r="J25" s="18"/>
      <c r="L25" s="92"/>
    </row>
    <row r="26" spans="1:13"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row>
    <row r="27" spans="1:13"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K27" s="18"/>
    </row>
    <row r="28" spans="1:13"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https://www.bocm.es/</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Inicio/ultimo-bocm</v>
      </c>
      <c r="C58" s="85" t="str" cm="1">
        <f t="array" ref="C58">IFERROR(INDEX('03.Muestra'!$F$8:$F$42,SMALL(IF("Página Web"='03.Muestra'!$D$8:$D$42,ROW('03.Muestra'!$F$8:$F$42)-MIN(ROW('03.Muestra'!$D$8:$D$42))+1,""),ROW()-56)),"")</f>
        <v>https://www.bocm.es/ultimo-bocm</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Inicio/autentificacion-verificacion</v>
      </c>
      <c r="C59" s="85" t="str" cm="1">
        <f t="array" ref="C59">IFERROR(INDEX('03.Muestra'!$F$8:$F$42,SMALL(IF("Página Web"='03.Muestra'!$D$8:$D$42,ROW('03.Muestra'!$F$8:$F$42)-MIN(ROW('03.Muestra'!$D$8:$D$42))+1,""),ROW()-56)),"")</f>
        <v>https://www.bocm.es/autentificacion-verificacion</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Inicio/que-es-bocm</v>
      </c>
      <c r="C60" s="85" t="str" cm="1">
        <f t="array" ref="C60">IFERROR(INDEX('03.Muestra'!$F$8:$F$42,SMALL(IF("Página Web"='03.Muestra'!$D$8:$D$42,ROW('03.Muestra'!$F$8:$F$42)-MIN(ROW('03.Muestra'!$D$8:$D$42))+1,""),ROW()-56)),"")</f>
        <v>https://www.bocm.es/que-es-bocm</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Inicio/organismo-autonomo</v>
      </c>
      <c r="C61" s="85" t="str" cm="1">
        <f t="array" ref="C61">IFERROR(INDEX('03.Muestra'!$F$8:$F$42,SMALL(IF("Página Web"='03.Muestra'!$D$8:$D$42,ROW('03.Muestra'!$F$8:$F$42)-MIN(ROW('03.Muestra'!$D$8:$D$42))+1,""),ROW()-56)),"")</f>
        <v>https://www.bocm.es/organismo-autonomo</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Inicio/s/publicar-anuncio</v>
      </c>
      <c r="C62" s="85" t="str" cm="1">
        <f t="array" ref="C62">IFERROR(INDEX('03.Muestra'!$F$8:$F$42,SMALL(IF("Página Web"='03.Muestra'!$D$8:$D$42,ROW('03.Muestra'!$F$8:$F$42)-MIN(ROW('03.Muestra'!$D$8:$D$42))+1,""),ROW()-56)),"")</f>
        <v>https://www.bocm.es/publicar-anuncio</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Inicio/declaracion-de-accesibilidad</v>
      </c>
      <c r="C63" s="85" t="str" cm="1">
        <f t="array" ref="C63">IFERROR(INDEX('03.Muestra'!$F$8:$F$42,SMALL(IF("Página Web"='03.Muestra'!$D$8:$D$42,ROW('03.Muestra'!$F$8:$F$42)-MIN(ROW('03.Muestra'!$D$8:$D$42))+1,""),ROW()-56)),"")</f>
        <v>https://www.bocm.es/declaracion-de-accesibilidad</v>
      </c>
      <c r="D63" s="99" t="s">
        <v>104</v>
      </c>
      <c r="E63" s="79" t="str">
        <f t="shared" si="2"/>
        <v/>
      </c>
      <c r="F63" s="18"/>
      <c r="G63" s="18"/>
      <c r="H63" s="18"/>
      <c r="I63" s="18"/>
      <c r="J63" s="18"/>
      <c r="K63" s="184"/>
    </row>
    <row r="64" spans="1:11"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row>
    <row r="65" spans="1:11"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row>
    <row r="66" spans="1:11"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https://www.bocm.es/</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Inicio/ultimo-bocm</v>
      </c>
      <c r="C96" s="85" t="str" cm="1">
        <f t="array" ref="C96">IFERROR(INDEX('03.Muestra'!$F$8:$F$42,SMALL(IF("Página Web"='03.Muestra'!$D$8:$D$42,ROW('03.Muestra'!$F$8:$F$42)-MIN(ROW('03.Muestra'!$D$8:$D$42))+1,""),ROW()-94)),"")</f>
        <v>https://www.bocm.es/ultimo-bocm</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Inicio/autentificacion-verificacion</v>
      </c>
      <c r="C97" s="85" t="str" cm="1">
        <f t="array" ref="C97">IFERROR(INDEX('03.Muestra'!$F$8:$F$42,SMALL(IF("Página Web"='03.Muestra'!$D$8:$D$42,ROW('03.Muestra'!$F$8:$F$42)-MIN(ROW('03.Muestra'!$D$8:$D$42))+1,""),ROW()-94)),"")</f>
        <v>https://www.bocm.es/autentificacion-verificacion</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Inicio/que-es-bocm</v>
      </c>
      <c r="C98" s="85" t="str" cm="1">
        <f t="array" ref="C98">IFERROR(INDEX('03.Muestra'!$F$8:$F$42,SMALL(IF("Página Web"='03.Muestra'!$D$8:$D$42,ROW('03.Muestra'!$F$8:$F$42)-MIN(ROW('03.Muestra'!$D$8:$D$42))+1,""),ROW()-94)),"")</f>
        <v>https://www.bocm.es/que-es-bocm</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Inicio/organismo-autonomo</v>
      </c>
      <c r="C99" s="85" t="str" cm="1">
        <f t="array" ref="C99">IFERROR(INDEX('03.Muestra'!$F$8:$F$42,SMALL(IF("Página Web"='03.Muestra'!$D$8:$D$42,ROW('03.Muestra'!$F$8:$F$42)-MIN(ROW('03.Muestra'!$D$8:$D$42))+1,""),ROW()-94)),"")</f>
        <v>https://www.bocm.es/organismo-autonomo</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Inicio/s/publicar-anuncio</v>
      </c>
      <c r="C100" s="85" t="str" cm="1">
        <f t="array" ref="C100">IFERROR(INDEX('03.Muestra'!$F$8:$F$42,SMALL(IF("Página Web"='03.Muestra'!$D$8:$D$42,ROW('03.Muestra'!$F$8:$F$42)-MIN(ROW('03.Muestra'!$D$8:$D$42))+1,""),ROW()-94)),"")</f>
        <v>https://www.bocm.es/publicar-anuncio</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Inicio/declaracion-de-accesibilidad</v>
      </c>
      <c r="C101" s="85" t="str" cm="1">
        <f t="array" ref="C101">IFERROR(INDEX('03.Muestra'!$F$8:$F$42,SMALL(IF("Página Web"='03.Muestra'!$D$8:$D$42,ROW('03.Muestra'!$F$8:$F$42)-MIN(ROW('03.Muestra'!$D$8:$D$42))+1,""),ROW()-94)),"")</f>
        <v>https://www.bocm.es/declaracion-de-accesibilidad</v>
      </c>
      <c r="D101" s="99" t="s">
        <v>104</v>
      </c>
      <c r="E101" s="79" t="str">
        <f t="shared" si="4"/>
        <v/>
      </c>
      <c r="F101" s="18"/>
      <c r="G101" s="18"/>
      <c r="H101" s="18"/>
      <c r="I101" s="18"/>
      <c r="J101" s="18"/>
      <c r="K101" s="184"/>
    </row>
    <row r="102" spans="1:11"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row>
    <row r="103" spans="1:11"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row>
    <row r="104" spans="1:11"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https://www.bocm.es/</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Inicio/ultimo-bocm</v>
      </c>
      <c r="C134" s="85" t="str" cm="1">
        <f t="array" ref="C134">IFERROR(INDEX('03.Muestra'!$F$8:$F$42,SMALL(IF("Página Web"='03.Muestra'!$D$8:$D$42,ROW('03.Muestra'!$F$8:$F$42)-MIN(ROW('03.Muestra'!$D$8:$D$42))+1,""),ROW()-132)),"")</f>
        <v>https://www.bocm.es/ultimo-bocm</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Inicio/autentificacion-verificacion</v>
      </c>
      <c r="C135" s="85" t="str" cm="1">
        <f t="array" ref="C135">IFERROR(INDEX('03.Muestra'!$F$8:$F$42,SMALL(IF("Página Web"='03.Muestra'!$D$8:$D$42,ROW('03.Muestra'!$F$8:$F$42)-MIN(ROW('03.Muestra'!$D$8:$D$42))+1,""),ROW()-132)),"")</f>
        <v>https://www.bocm.es/autentificacion-verificacion</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Inicio/que-es-bocm</v>
      </c>
      <c r="C136" s="85" t="str" cm="1">
        <f t="array" ref="C136">IFERROR(INDEX('03.Muestra'!$F$8:$F$42,SMALL(IF("Página Web"='03.Muestra'!$D$8:$D$42,ROW('03.Muestra'!$F$8:$F$42)-MIN(ROW('03.Muestra'!$D$8:$D$42))+1,""),ROW()-132)),"")</f>
        <v>https://www.bocm.es/que-es-bocm</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Inicio/organismo-autonomo</v>
      </c>
      <c r="C137" s="85" t="str" cm="1">
        <f t="array" ref="C137">IFERROR(INDEX('03.Muestra'!$F$8:$F$42,SMALL(IF("Página Web"='03.Muestra'!$D$8:$D$42,ROW('03.Muestra'!$F$8:$F$42)-MIN(ROW('03.Muestra'!$D$8:$D$42))+1,""),ROW()-132)),"")</f>
        <v>https://www.bocm.es/organismo-autonomo</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Inicio/s/publicar-anuncio</v>
      </c>
      <c r="C138" s="85" t="str" cm="1">
        <f t="array" ref="C138">IFERROR(INDEX('03.Muestra'!$F$8:$F$42,SMALL(IF("Página Web"='03.Muestra'!$D$8:$D$42,ROW('03.Muestra'!$F$8:$F$42)-MIN(ROW('03.Muestra'!$D$8:$D$42))+1,""),ROW()-132)),"")</f>
        <v>https://www.bocm.es/publicar-anuncio</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Inicio/declaracion-de-accesibilidad</v>
      </c>
      <c r="C139" s="85" t="str" cm="1">
        <f t="array" ref="C139">IFERROR(INDEX('03.Muestra'!$F$8:$F$42,SMALL(IF("Página Web"='03.Muestra'!$D$8:$D$42,ROW('03.Muestra'!$F$8:$F$42)-MIN(ROW('03.Muestra'!$D$8:$D$42))+1,""),ROW()-132)),"")</f>
        <v>https://www.bocm.es/declaracion-de-accesibilidad</v>
      </c>
      <c r="D139" s="99" t="s">
        <v>104</v>
      </c>
      <c r="E139" s="79" t="str">
        <f t="shared" si="6"/>
        <v/>
      </c>
      <c r="F139" s="18"/>
      <c r="G139" s="18"/>
      <c r="H139" s="18"/>
      <c r="I139" s="18"/>
      <c r="J139" s="18"/>
      <c r="K139" s="184"/>
    </row>
    <row r="140" spans="1:11"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row>
    <row r="141" spans="1:11"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row>
    <row r="142" spans="1:11"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https://www.bocm.es/</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Inicio/ultimo-bocm</v>
      </c>
      <c r="C172" s="85" t="str" cm="1">
        <f t="array" ref="C172">IFERROR(INDEX('03.Muestra'!$F$8:$F$42,SMALL(IF("Página Web"='03.Muestra'!$D$8:$D$42,ROW('03.Muestra'!$F$8:$F$42)-MIN(ROW('03.Muestra'!$D$8:$D$42))+1,""),ROW()-170)),"")</f>
        <v>https://www.bocm.es/ultimo-bocm</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Inicio/autentificacion-verificacion</v>
      </c>
      <c r="C173" s="85" t="str" cm="1">
        <f t="array" ref="C173">IFERROR(INDEX('03.Muestra'!$F$8:$F$42,SMALL(IF("Página Web"='03.Muestra'!$D$8:$D$42,ROW('03.Muestra'!$F$8:$F$42)-MIN(ROW('03.Muestra'!$D$8:$D$42))+1,""),ROW()-170)),"")</f>
        <v>https://www.bocm.es/autentificacion-verificacion</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Inicio/que-es-bocm</v>
      </c>
      <c r="C174" s="85" t="str" cm="1">
        <f t="array" ref="C174">IFERROR(INDEX('03.Muestra'!$F$8:$F$42,SMALL(IF("Página Web"='03.Muestra'!$D$8:$D$42,ROW('03.Muestra'!$F$8:$F$42)-MIN(ROW('03.Muestra'!$D$8:$D$42))+1,""),ROW()-170)),"")</f>
        <v>https://www.bocm.es/que-es-bocm</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Inicio/organismo-autonomo</v>
      </c>
      <c r="C175" s="85" t="str" cm="1">
        <f t="array" ref="C175">IFERROR(INDEX('03.Muestra'!$F$8:$F$42,SMALL(IF("Página Web"='03.Muestra'!$D$8:$D$42,ROW('03.Muestra'!$F$8:$F$42)-MIN(ROW('03.Muestra'!$D$8:$D$42))+1,""),ROW()-170)),"")</f>
        <v>https://www.bocm.es/organismo-autonomo</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Inicio/s/publicar-anuncio</v>
      </c>
      <c r="C176" s="85" t="str" cm="1">
        <f t="array" ref="C176">IFERROR(INDEX('03.Muestra'!$F$8:$F$42,SMALL(IF("Página Web"='03.Muestra'!$D$8:$D$42,ROW('03.Muestra'!$F$8:$F$42)-MIN(ROW('03.Muestra'!$D$8:$D$42))+1,""),ROW()-170)),"")</f>
        <v>https://www.bocm.es/publicar-anuncio</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Inicio/declaracion-de-accesibilidad</v>
      </c>
      <c r="C177" s="85" t="str" cm="1">
        <f t="array" ref="C177">IFERROR(INDEX('03.Muestra'!$F$8:$F$42,SMALL(IF("Página Web"='03.Muestra'!$D$8:$D$42,ROW('03.Muestra'!$F$8:$F$42)-MIN(ROW('03.Muestra'!$D$8:$D$42))+1,""),ROW()-170)),"")</f>
        <v>https://www.bocm.es/declaracion-de-accesibilidad</v>
      </c>
      <c r="D177" s="99" t="s">
        <v>104</v>
      </c>
      <c r="E177" s="79" t="str">
        <f t="shared" si="8"/>
        <v/>
      </c>
      <c r="F177" s="18"/>
      <c r="G177" s="18"/>
      <c r="H177" s="18"/>
      <c r="I177" s="18"/>
      <c r="J177" s="18"/>
      <c r="K177" s="184"/>
    </row>
    <row r="178" spans="1:11"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row>
    <row r="179" spans="1:11"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row>
    <row r="180" spans="1:11"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https://www.bocm.es/</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Inicio/ultimo-bocm</v>
      </c>
      <c r="C210" s="85" t="str" cm="1">
        <f t="array" ref="C210">IFERROR(INDEX('03.Muestra'!$F$8:$F$42,SMALL(IF("Página Web"='03.Muestra'!$D$8:$D$42,ROW('03.Muestra'!$F$8:$F$42)-MIN(ROW('03.Muestra'!$D$8:$D$42))+1,""),ROW()-208)),"")</f>
        <v>https://www.bocm.es/ultimo-bocm</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Inicio/autentificacion-verificacion</v>
      </c>
      <c r="C211" s="85" t="str" cm="1">
        <f t="array" ref="C211">IFERROR(INDEX('03.Muestra'!$F$8:$F$42,SMALL(IF("Página Web"='03.Muestra'!$D$8:$D$42,ROW('03.Muestra'!$F$8:$F$42)-MIN(ROW('03.Muestra'!$D$8:$D$42))+1,""),ROW()-208)),"")</f>
        <v>https://www.bocm.es/autentificacion-verificacion</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Inicio/que-es-bocm</v>
      </c>
      <c r="C212" s="85" t="str" cm="1">
        <f t="array" ref="C212">IFERROR(INDEX('03.Muestra'!$F$8:$F$42,SMALL(IF("Página Web"='03.Muestra'!$D$8:$D$42,ROW('03.Muestra'!$F$8:$F$42)-MIN(ROW('03.Muestra'!$D$8:$D$42))+1,""),ROW()-208)),"")</f>
        <v>https://www.bocm.es/que-es-bocm</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Inicio/organismo-autonomo</v>
      </c>
      <c r="C213" s="85" t="str" cm="1">
        <f t="array" ref="C213">IFERROR(INDEX('03.Muestra'!$F$8:$F$42,SMALL(IF("Página Web"='03.Muestra'!$D$8:$D$42,ROW('03.Muestra'!$F$8:$F$42)-MIN(ROW('03.Muestra'!$D$8:$D$42))+1,""),ROW()-208)),"")</f>
        <v>https://www.bocm.es/organismo-autonomo</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Inicio/s/publicar-anuncio</v>
      </c>
      <c r="C214" s="85" t="str" cm="1">
        <f t="array" ref="C214">IFERROR(INDEX('03.Muestra'!$F$8:$F$42,SMALL(IF("Página Web"='03.Muestra'!$D$8:$D$42,ROW('03.Muestra'!$F$8:$F$42)-MIN(ROW('03.Muestra'!$D$8:$D$42))+1,""),ROW()-208)),"")</f>
        <v>https://www.bocm.es/publicar-anuncio</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Inicio/declaracion-de-accesibilidad</v>
      </c>
      <c r="C215" s="85" t="str" cm="1">
        <f t="array" ref="C215">IFERROR(INDEX('03.Muestra'!$F$8:$F$42,SMALL(IF("Página Web"='03.Muestra'!$D$8:$D$42,ROW('03.Muestra'!$F$8:$F$42)-MIN(ROW('03.Muestra'!$D$8:$D$42))+1,""),ROW()-208)),"")</f>
        <v>https://www.bocm.es/declaracion-de-accesibilidad</v>
      </c>
      <c r="D215" s="99" t="s">
        <v>104</v>
      </c>
      <c r="E215" s="79" t="str">
        <f t="shared" si="10"/>
        <v/>
      </c>
      <c r="F215" s="18"/>
      <c r="G215" s="18"/>
      <c r="H215" s="18"/>
      <c r="I215" s="18"/>
      <c r="J215" s="18"/>
      <c r="K215" s="184"/>
    </row>
    <row r="216" spans="1:11"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84"/>
    </row>
    <row r="217" spans="1:11"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row>
    <row r="218" spans="1:11"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topLeftCell="A45" zoomScale="131" zoomScaleNormal="131" workbookViewId="0">
      <selection activeCell="C170" sqref="C17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7</v>
      </c>
      <c r="H12" s="42">
        <f ca="1">IF(($G$15+$K$15)=0,0,G12/($G$15+$K$15))</f>
        <v>0.2</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21</v>
      </c>
      <c r="H13" s="42">
        <f ca="1">IF(($G$15+$K$15)=0,0,G13/($G$15+$K$15))</f>
        <v>0.6</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7</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https://www.bocm.es/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Inicio/ultimo-bocm</v>
      </c>
      <c r="C20" s="85" t="str" cm="1">
        <f t="array" ref="C20">IFERROR(INDEX('03.Muestra'!$F$8:$F$42,SMALL(IF("Página Web"='03.Muestra'!$D$8:$D$42,ROW('03.Muestra'!$F$8:$F$42)-MIN(ROW('03.Muestra'!$D$8:$D$42))+1,""),ROW()-18)),"")</f>
        <v>https://www.bocm.es/ultimo-bocm</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Inicio/autentificacion-verificacion</v>
      </c>
      <c r="C21" s="85" t="str" cm="1">
        <f t="array" ref="C21">IFERROR(INDEX('03.Muestra'!$F$8:$F$42,SMALL(IF("Página Web"='03.Muestra'!$D$8:$D$42,ROW('03.Muestra'!$F$8:$F$42)-MIN(ROW('03.Muestra'!$D$8:$D$42))+1,""),ROW()-18)),"")</f>
        <v>https://www.bocm.es/autentificacion-verificacion</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Inicio/que-es-bocm</v>
      </c>
      <c r="C22" s="85" t="str" cm="1">
        <f t="array" ref="C22">IFERROR(INDEX('03.Muestra'!$F$8:$F$42,SMALL(IF("Página Web"='03.Muestra'!$D$8:$D$42,ROW('03.Muestra'!$F$8:$F$42)-MIN(ROW('03.Muestra'!$D$8:$D$42))+1,""),ROW()-18)),"")</f>
        <v>https://www.bocm.es/que-es-bocm</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Inicio/organismo-autonomo</v>
      </c>
      <c r="C23" s="85" t="str" cm="1">
        <f t="array" ref="C23">IFERROR(INDEX('03.Muestra'!$F$8:$F$42,SMALL(IF("Página Web"='03.Muestra'!$D$8:$D$42,ROW('03.Muestra'!$F$8:$F$42)-MIN(ROW('03.Muestra'!$D$8:$D$42))+1,""),ROW()-18)),"")</f>
        <v>https://www.bocm.es/organismo-autonomo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Inicio/s/publicar-anuncio</v>
      </c>
      <c r="C24" s="85" t="str" cm="1">
        <f t="array" ref="C24">IFERROR(INDEX('03.Muestra'!$F$8:$F$42,SMALL(IF("Página Web"='03.Muestra'!$D$8:$D$42,ROW('03.Muestra'!$F$8:$F$42)-MIN(ROW('03.Muestra'!$D$8:$D$42))+1,""),ROW()-18)),"")</f>
        <v>https://www.bocm.es/publicar-anuncio</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Inicio/declaracion-de-accesibilidad</v>
      </c>
      <c r="C25" s="85" t="str" cm="1">
        <f t="array" ref="C25">IFERROR(INDEX('03.Muestra'!$F$8:$F$42,SMALL(IF("Página Web"='03.Muestra'!$D$8:$D$42,ROW('03.Muestra'!$F$8:$F$42)-MIN(ROW('03.Muestra'!$D$8:$D$42))+1,""),ROW()-18)),"")</f>
        <v>https://www.bocm.es/declaracion-de-accesibilidad</v>
      </c>
      <c r="D25" s="99" t="s">
        <v>104</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https://www.bocm.es/</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Inicio/ultimo-bocm</v>
      </c>
      <c r="C58" s="85" t="str" cm="1">
        <f t="array" ref="C58">IFERROR(INDEX('03.Muestra'!$F$8:$F$42,SMALL(IF("Página Web"='03.Muestra'!$D$8:$D$42,ROW('03.Muestra'!$F$8:$F$42)-MIN(ROW('03.Muestra'!$D$8:$D$42))+1,""),ROW()-56)),"")</f>
        <v>https://www.bocm.es/ultimo-bocm</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7</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Inicio/autentificacion-verificacion</v>
      </c>
      <c r="C59" s="85" t="str" cm="1">
        <f t="array" ref="C59">IFERROR(INDEX('03.Muestra'!$F$8:$F$42,SMALL(IF("Página Web"='03.Muestra'!$D$8:$D$42,ROW('03.Muestra'!$F$8:$F$42)-MIN(ROW('03.Muestra'!$D$8:$D$42))+1,""),ROW()-56)),"")</f>
        <v>https://www.bocm.es/autentificacion-verificacion</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Inicio/que-es-bocm</v>
      </c>
      <c r="C60" s="85" t="str" cm="1">
        <f t="array" ref="C60">IFERROR(INDEX('03.Muestra'!$F$8:$F$42,SMALL(IF("Página Web"='03.Muestra'!$D$8:$D$42,ROW('03.Muestra'!$F$8:$F$42)-MIN(ROW('03.Muestra'!$D$8:$D$42))+1,""),ROW()-56)),"")</f>
        <v>https://www.bocm.es/que-es-bocm</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Inicio/organismo-autonomo</v>
      </c>
      <c r="C61" s="85" t="str" cm="1">
        <f t="array" ref="C61">IFERROR(INDEX('03.Muestra'!$F$8:$F$42,SMALL(IF("Página Web"='03.Muestra'!$D$8:$D$42,ROW('03.Muestra'!$F$8:$F$42)-MIN(ROW('03.Muestra'!$D$8:$D$42))+1,""),ROW()-56)),"")</f>
        <v>https://www.bocm.es/organismo-autonomo</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Inicio/s/publicar-anuncio</v>
      </c>
      <c r="C62" s="85" t="str" cm="1">
        <f t="array" ref="C62">IFERROR(INDEX('03.Muestra'!$F$8:$F$42,SMALL(IF("Página Web"='03.Muestra'!$D$8:$D$42,ROW('03.Muestra'!$F$8:$F$42)-MIN(ROW('03.Muestra'!$D$8:$D$42))+1,""),ROW()-56)),"")</f>
        <v>https://www.bocm.es/publicar-anuncio</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Inicio/declaracion-de-accesibilidad</v>
      </c>
      <c r="C63" s="85" t="str" cm="1">
        <f t="array" ref="C63">IFERROR(INDEX('03.Muestra'!$F$8:$F$42,SMALL(IF("Página Web"='03.Muestra'!$D$8:$D$42,ROW('03.Muestra'!$F$8:$F$42)-MIN(ROW('03.Muestra'!$D$8:$D$42))+1,""),ROW()-56)),"")</f>
        <v>https://www.bocm.es/declaracion-de-accesibilidad</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https://www.bocm.es/</v>
      </c>
      <c r="D95" s="99" t="s">
        <v>94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Inicio/ultimo-bocm</v>
      </c>
      <c r="C96" s="85" t="str" cm="1">
        <f t="array" ref="C96">IFERROR(INDEX('03.Muestra'!$F$8:$F$42,SMALL(IF("Página Web"='03.Muestra'!$D$8:$D$42,ROW('03.Muestra'!$F$8:$F$42)-MIN(ROW('03.Muestra'!$D$8:$D$42))+1,""),ROW()-94)),"")</f>
        <v>https://www.bocm.es/ultimo-bocm</v>
      </c>
      <c r="D96" s="99" t="s">
        <v>94</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7</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Inicio/autentificacion-verificacion</v>
      </c>
      <c r="C97" s="85" t="str" cm="1">
        <f t="array" ref="C97">IFERROR(INDEX('03.Muestra'!$F$8:$F$42,SMALL(IF("Página Web"='03.Muestra'!$D$8:$D$42,ROW('03.Muestra'!$F$8:$F$42)-MIN(ROW('03.Muestra'!$D$8:$D$42))+1,""),ROW()-94)),"")</f>
        <v>https://www.bocm.es/autentificacion-verificacion</v>
      </c>
      <c r="D97" s="99" t="s">
        <v>94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Inicio/que-es-bocm</v>
      </c>
      <c r="C98" s="85" t="str" cm="1">
        <f t="array" ref="C98">IFERROR(INDEX('03.Muestra'!$F$8:$F$42,SMALL(IF("Página Web"='03.Muestra'!$D$8:$D$42,ROW('03.Muestra'!$F$8:$F$42)-MIN(ROW('03.Muestra'!$D$8:$D$42))+1,""),ROW()-94)),"")</f>
        <v>https://www.bocm.es/que-es-bocm</v>
      </c>
      <c r="D98" s="99" t="s">
        <v>94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Inicio/organismo-autonomo</v>
      </c>
      <c r="C99" s="85" t="str" cm="1">
        <f t="array" ref="C99">IFERROR(INDEX('03.Muestra'!$F$8:$F$42,SMALL(IF("Página Web"='03.Muestra'!$D$8:$D$42,ROW('03.Muestra'!$F$8:$F$42)-MIN(ROW('03.Muestra'!$D$8:$D$42))+1,""),ROW()-94)),"")</f>
        <v>https://www.bocm.es/organismo-autonomo</v>
      </c>
      <c r="D99" s="99" t="s">
        <v>94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Inicio/s/publicar-anuncio</v>
      </c>
      <c r="C100" s="85" t="str" cm="1">
        <f t="array" ref="C100">IFERROR(INDEX('03.Muestra'!$F$8:$F$42,SMALL(IF("Página Web"='03.Muestra'!$D$8:$D$42,ROW('03.Muestra'!$F$8:$F$42)-MIN(ROW('03.Muestra'!$D$8:$D$42))+1,""),ROW()-94)),"")</f>
        <v>https://www.bocm.es/publicar-anuncio</v>
      </c>
      <c r="D100" s="99" t="s">
        <v>94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Inicio/declaracion-de-accesibilidad</v>
      </c>
      <c r="C101" s="85" t="str" cm="1">
        <f t="array" ref="C101">IFERROR(INDEX('03.Muestra'!$F$8:$F$42,SMALL(IF("Página Web"='03.Muestra'!$D$8:$D$42,ROW('03.Muestra'!$F$8:$F$42)-MIN(ROW('03.Muestra'!$D$8:$D$42))+1,""),ROW()-94)),"")</f>
        <v>https://www.bocm.es/declaracion-de-accesibilidad</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https://www.bocm.es/</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Inicio/ultimo-bocm</v>
      </c>
      <c r="C134" s="85" t="str" cm="1">
        <f t="array" ref="C134">IFERROR(INDEX('03.Muestra'!$F$8:$F$42,SMALL(IF("Página Web"='03.Muestra'!$D$8:$D$42,ROW('03.Muestra'!$F$8:$F$42)-MIN(ROW('03.Muestra'!$D$8:$D$42))+1,""),ROW()-132)),"")</f>
        <v>https://www.bocm.es/ultimo-bocm</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7</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Inicio/autentificacion-verificacion</v>
      </c>
      <c r="C135" s="85" t="str" cm="1">
        <f t="array" ref="C135">IFERROR(INDEX('03.Muestra'!$F$8:$F$42,SMALL(IF("Página Web"='03.Muestra'!$D$8:$D$42,ROW('03.Muestra'!$F$8:$F$42)-MIN(ROW('03.Muestra'!$D$8:$D$42))+1,""),ROW()-132)),"")</f>
        <v>https://www.bocm.es/autentificacion-verificacion</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Inicio/que-es-bocm</v>
      </c>
      <c r="C136" s="85" t="str" cm="1">
        <f t="array" ref="C136">IFERROR(INDEX('03.Muestra'!$F$8:$F$42,SMALL(IF("Página Web"='03.Muestra'!$D$8:$D$42,ROW('03.Muestra'!$F$8:$F$42)-MIN(ROW('03.Muestra'!$D$8:$D$42))+1,""),ROW()-132)),"")</f>
        <v>https://www.bocm.es/que-es-bocm</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Inicio/organismo-autonomo</v>
      </c>
      <c r="C137" s="85" t="str" cm="1">
        <f t="array" ref="C137">IFERROR(INDEX('03.Muestra'!$F$8:$F$42,SMALL(IF("Página Web"='03.Muestra'!$D$8:$D$42,ROW('03.Muestra'!$F$8:$F$42)-MIN(ROW('03.Muestra'!$D$8:$D$42))+1,""),ROW()-132)),"")</f>
        <v>https://www.bocm.es/organismo-autonomo</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Inicio/s/publicar-anuncio</v>
      </c>
      <c r="C138" s="85" t="str" cm="1">
        <f t="array" ref="C138">IFERROR(INDEX('03.Muestra'!$F$8:$F$42,SMALL(IF("Página Web"='03.Muestra'!$D$8:$D$42,ROW('03.Muestra'!$F$8:$F$42)-MIN(ROW('03.Muestra'!$D$8:$D$42))+1,""),ROW()-132)),"")</f>
        <v>https://www.bocm.es/publicar-anuncio</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Inicio/declaracion-de-accesibilidad</v>
      </c>
      <c r="C139" s="85" t="str" cm="1">
        <f t="array" ref="C139">IFERROR(INDEX('03.Muestra'!$F$8:$F$42,SMALL(IF("Página Web"='03.Muestra'!$D$8:$D$42,ROW('03.Muestra'!$F$8:$F$42)-MIN(ROW('03.Muestra'!$D$8:$D$42))+1,""),ROW()-132)),"")</f>
        <v>https://www.bocm.es/declaracion-de-accesibilidad</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https://www.bocm.es/</v>
      </c>
      <c r="D171" s="99" t="s">
        <v>94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Inicio/ultimo-bocm</v>
      </c>
      <c r="C172" s="85" t="str" cm="1">
        <f t="array" ref="C172">IFERROR(INDEX('03.Muestra'!$F$8:$F$42,SMALL(IF("Página Web"='03.Muestra'!$D$8:$D$42,ROW('03.Muestra'!$F$8:$F$42)-MIN(ROW('03.Muestra'!$D$8:$D$42))+1,""),ROW()-170)),"")</f>
        <v>https://www.bocm.es/ultimo-bocm</v>
      </c>
      <c r="D172" s="99" t="s">
        <v>94</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7</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Inicio/autentificacion-verificacion</v>
      </c>
      <c r="C173" s="85" t="str" cm="1">
        <f t="array" ref="C173">IFERROR(INDEX('03.Muestra'!$F$8:$F$42,SMALL(IF("Página Web"='03.Muestra'!$D$8:$D$42,ROW('03.Muestra'!$F$8:$F$42)-MIN(ROW('03.Muestra'!$D$8:$D$42))+1,""),ROW()-170)),"")</f>
        <v>https://www.bocm.es/autentificacion-verificacion</v>
      </c>
      <c r="D173" s="99" t="s">
        <v>94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Inicio/que-es-bocm</v>
      </c>
      <c r="C174" s="85" t="str" cm="1">
        <f t="array" ref="C174">IFERROR(INDEX('03.Muestra'!$F$8:$F$42,SMALL(IF("Página Web"='03.Muestra'!$D$8:$D$42,ROW('03.Muestra'!$F$8:$F$42)-MIN(ROW('03.Muestra'!$D$8:$D$42))+1,""),ROW()-170)),"")</f>
        <v>https://www.bocm.es/que-es-bocm</v>
      </c>
      <c r="D174" s="99" t="s">
        <v>94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Inicio/organismo-autonomo</v>
      </c>
      <c r="C175" s="85" t="str" cm="1">
        <f t="array" ref="C175">IFERROR(INDEX('03.Muestra'!$F$8:$F$42,SMALL(IF("Página Web"='03.Muestra'!$D$8:$D$42,ROW('03.Muestra'!$F$8:$F$42)-MIN(ROW('03.Muestra'!$D$8:$D$42))+1,""),ROW()-170)),"")</f>
        <v>https://www.bocm.es/organismo-autonomo</v>
      </c>
      <c r="D175" s="99" t="s">
        <v>94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Inicio/s/publicar-anuncio</v>
      </c>
      <c r="C176" s="85" t="str" cm="1">
        <f t="array" ref="C176">IFERROR(INDEX('03.Muestra'!$F$8:$F$42,SMALL(IF("Página Web"='03.Muestra'!$D$8:$D$42,ROW('03.Muestra'!$F$8:$F$42)-MIN(ROW('03.Muestra'!$D$8:$D$42))+1,""),ROW()-170)),"")</f>
        <v>https://www.bocm.es/publicar-anuncio</v>
      </c>
      <c r="D176" s="99" t="s">
        <v>94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Inicio/declaracion-de-accesibilidad</v>
      </c>
      <c r="C177" s="85" t="str" cm="1">
        <f t="array" ref="C177">IFERROR(INDEX('03.Muestra'!$F$8:$F$42,SMALL(IF("Página Web"='03.Muestra'!$D$8:$D$42,ROW('03.Muestra'!$F$8:$F$42)-MIN(ROW('03.Muestra'!$D$8:$D$42))+1,""),ROW()-170)),"")</f>
        <v>https://www.bocm.es/declaracion-de-accesibilidad</v>
      </c>
      <c r="D177" s="99" t="s">
        <v>94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V96"/>
  <sheetViews>
    <sheetView zoomScale="70" zoomScaleNormal="70" workbookViewId="0">
      <selection activeCell="I29" sqref="I29"/>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40" t="s">
        <v>253</v>
      </c>
      <c r="L6" s="240"/>
      <c r="M6" s="240"/>
      <c r="N6" s="48"/>
      <c r="O6" s="240" t="s">
        <v>254</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1" t="s">
        <v>86</v>
      </c>
      <c r="D7" s="242"/>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3" t="s">
        <v>262</v>
      </c>
      <c r="D8" s="244"/>
      <c r="E8" s="38" t="str">
        <f ca="1">CONCATENATE(COUNTIF(E55:CR55,"CONFORME")," (",ROUND(COUNTIF(E55:CR55,"CONFORME")*100/COUNTA($E$19:CR$19),2)," %)")</f>
        <v>22 (23,91 %)</v>
      </c>
      <c r="F8" s="38" t="str">
        <f ca="1">CONCATENATE(COUNTIF(E55:CR55,"NO CONFORME")," (",ROUND(COUNTIF(E55:CR55,"NO CONFORME")*100/COUNTA($E$19:CR$19),2)," %)")</f>
        <v>10 (10,87 %)</v>
      </c>
      <c r="G8" s="39" t="str">
        <f ca="1">CONCATENATE(COUNTIF(E55:CR55,"N/A")," (",ROUND(COUNTIF(E55:CR55,"N/A")*100/COUNTA($E$19:CR$19),2)," %)")</f>
        <v>60 (65,22 %)</v>
      </c>
      <c r="H8" s="39">
        <f ca="1">COUNTIF(E55:CR55,"ERROR")</f>
        <v>0</v>
      </c>
      <c r="I8" s="40">
        <f ca="1">COUNTIF(E55:CR55,"EN CURSO")</f>
        <v>0</v>
      </c>
      <c r="J8" s="187">
        <f ca="1">SUM(VALUE(LEFT(E8,SEARCH(" ",E8)-1)),VALUE(LEFT(F8,SEARCH(" ",F8)-1)))</f>
        <v>32</v>
      </c>
      <c r="K8" s="41" t="s">
        <v>263</v>
      </c>
      <c r="L8" s="38">
        <f ca="1">COUNTIF( $E$20:INDIRECT("$CR$" &amp;  SUM(19,COUNTIFS(B20:B54,"&lt;&gt;"))),"Pasa")+ COUNTIF($E$61:INDIRECT("$AW$" &amp;  SUM(60,COUNTIFS(B61:B95,"&lt;&gt;"))),"Pasa")</f>
        <v>163</v>
      </c>
      <c r="M8" s="42">
        <f ca="1">IF(($L$11+$P$11)=0,0,L8/($L$11+$P$11))</f>
        <v>0.23657474600870829</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9" t="s">
        <v>264</v>
      </c>
      <c r="D9" s="250"/>
      <c r="E9" s="140" t="str">
        <f ca="1">CONCATENATE(COUNTIF(E96:AW96,"CONFORME")," (",ROUND(COUNTIF(E96:AW96,"CONFORME")*100/COUNTA($E$60:AW$60),2)," %)")</f>
        <v>8 (17,78 %)</v>
      </c>
      <c r="F9" s="140" t="str">
        <f ca="1">CONCATENATE(COUNTIF(E96:AW96,"NO CONFORME")," (",ROUND(COUNTIF(E96:AW96,"NO CONFORME")*100/COUNTA($E$60:AW$60),2)," %)")</f>
        <v>0 (0 %)</v>
      </c>
      <c r="G9" s="189" t="str">
        <f ca="1">CONCATENATE(COUNTIF(E96:AW96,"N/A")," (",ROUND(COUNTIF(E96:AW96,"N/A")*100/COUNTA($E$60:AW$60),2)," %)")</f>
        <v>37 (82,22 %)</v>
      </c>
      <c r="H9" s="189">
        <f ca="1">COUNTIF(E96:AW96,"ERROR")</f>
        <v>0</v>
      </c>
      <c r="I9" s="190">
        <f ca="1">COUNTIF(E96:AW96,"EN CURSO")</f>
        <v>0</v>
      </c>
      <c r="J9" s="187">
        <f ca="1">SUM(VALUE(LEFT(E9,SEARCH(" ",E9)-1)),VALUE(LEFT(F9,SEARCH(" ",F9)-1)))</f>
        <v>8</v>
      </c>
      <c r="K9" s="41" t="s">
        <v>94</v>
      </c>
      <c r="L9" s="38">
        <f ca="1">COUNTIF( $E$20:INDIRECT("$CR$" &amp;  SUM(19,COUNTIFS(B20:B54,"&lt;&gt;"))),"Falla")+ COUNTIF($E$61:INDIRECT("$AW$" &amp;  SUM(60,COUNTIFS(B61:B95,"&lt;&gt;"))),"Falla")</f>
        <v>63</v>
      </c>
      <c r="M9" s="42">
        <f ca="1">IF(($L$11+$P$11)=0,0,L9/($L$11+$P$11))</f>
        <v>9.1436865021770689E-2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4" t="s">
        <v>265</v>
      </c>
      <c r="D10" s="255"/>
      <c r="E10" s="192" t="str">
        <f ca="1">CONCATENATE(ROUND(E11/137*100,2)," %")</f>
        <v>21,9 %</v>
      </c>
      <c r="F10" s="192" t="str">
        <f ca="1">CONCATENATE(ROUND(F11/137*100,2)," %")</f>
        <v>7,3 %</v>
      </c>
      <c r="G10" s="192" t="str">
        <f ca="1">CONCATENATE(ROUND(G11/137*100,2)," %")</f>
        <v>70,8 %</v>
      </c>
      <c r="H10" s="192" t="str">
        <f ca="1">CONCATENATE(ROUND(H11/137*100,2)," %")</f>
        <v>0 %</v>
      </c>
      <c r="I10" s="194" t="str">
        <f ca="1">CONCATENATE(ROUND(I11/137*100,2)," %")</f>
        <v>0 %</v>
      </c>
      <c r="J10" s="195"/>
      <c r="K10" s="41" t="s">
        <v>97</v>
      </c>
      <c r="L10" s="38">
        <f ca="1">COUNTIF( $E$20:INDIRECT("$CR$" &amp;  SUM(19,COUNTIFS(B20:B54,"&lt;&gt;"))),"N/A")+COUNTIF($E$61:INDIRECT("$AW$" &amp;  SUM(60,COUNTIFS(B61:B95,"&lt;&gt;"))),"N/A")</f>
        <v>463</v>
      </c>
      <c r="M10" s="42">
        <f ca="1">IF(($L$11+$P$11)=0,0,L10/($L$11+$P$11))</f>
        <v>0.67198838896952107</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8"/>
      <c r="D11" s="248"/>
      <c r="E11" s="193">
        <f ca="1">SUM(VALUE(LEFT(E8,SEARCH(" ",E8)-1)),VALUE(LEFT(E9,SEARCH(" ",E9)-1)))</f>
        <v>30</v>
      </c>
      <c r="F11" s="193">
        <f ca="1">SUM(VALUE(LEFT(F8,SEARCH(" ",F8)-1)),VALUE(LEFT(F9,SEARCH(" ",F9)-1)))</f>
        <v>10</v>
      </c>
      <c r="G11" s="193">
        <f ca="1">SUM(VALUE(LEFT(G8,SEARCH(" ",G8)-1)),VALUE(LEFT(G9,SEARCH(" ",G9)-1)))</f>
        <v>97</v>
      </c>
      <c r="H11" s="193">
        <f ca="1">SUM(H8:H9)</f>
        <v>0</v>
      </c>
      <c r="I11" s="193">
        <f ca="1">SUM(I8:I9)</f>
        <v>0</v>
      </c>
      <c r="K11" s="43" t="s">
        <v>266</v>
      </c>
      <c r="L11" s="203">
        <f ca="1">SUM(L8:L10)</f>
        <v>689</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51" t="s">
        <v>268</v>
      </c>
      <c r="G13" s="252"/>
      <c r="H13" s="252"/>
      <c r="I13" s="253"/>
      <c r="J13" s="18"/>
      <c r="K13" s="251" t="s">
        <v>269</v>
      </c>
      <c r="L13" s="253"/>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5">
        <f ca="1">IF(AND(D14&lt;&gt;"Evaluación en curso",D14&lt;&gt;"Evaluación con errores",D14&lt;&gt;""), IF(J8=0,"", ROUND(((COUNT(B20:B54)/(COUNT(B20:B54)+COUNT(B61:B95)))*IF(J8=0,0,LEFT(E8,SEARCH(" ",E8)-1)/J8)+(COUNT(B61:B95)/(COUNT(B20:B54)+COUNT(B61:B95)))*IF(J9=0,0,LEFT(E9,SEARCH(" ",E9)-1)/J9))*10,2)),"")</f>
        <v>7.27</v>
      </c>
      <c r="G14" s="246"/>
      <c r="H14" s="246"/>
      <c r="I14" s="247"/>
      <c r="J14" s="18"/>
      <c r="K14" s="245" t="str">
        <f>'03.Muestra'!D52</f>
        <v>NO</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262</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270</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https://www.bocm.es/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Pasa</v>
      </c>
      <c r="AR20" s="75" t="str" cm="1">
        <f t="array" aca="1" ref="AR20" ca="1">IF($B20="","",IF(ISBLANK(INDIRECT("R9.Web!D"&amp;SUM(18,38*8,1))),"",INDIRECT("R9.Web!D"&amp;SUM(18,38*8,1))))</f>
        <v>N/A</v>
      </c>
      <c r="AS20" s="75" t="str" cm="1">
        <f t="array" aca="1" ref="AS20" ca="1">IF($B20="","",IF(ISBLANK(INDIRECT("R9.Web!D"&amp;SUM(18,38*9,1))),"",INDIRECT("R9.Web!D"&amp;SUM(18,38*9,1))))</f>
        <v>Pasa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Falla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N/A</v>
      </c>
      <c r="BY20" s="75" t="str" cm="1">
        <f t="array" aca="1" ref="BY20" ca="1">IF($B20="","",IF(ISBLANK(INDIRECT("R9.Web!D"&amp;SUM(18,38*41,1))),"",INDIRECT("R9.Web!D"&amp;SUM(18,38*41,1))))</f>
        <v>N/A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Falla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Falla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Inicio/ultimo-bocm</v>
      </c>
      <c r="D21" s="74" t="str" cm="1">
        <f t="array" ref="D21">IFERROR(INDEX('03.Muestra'!$F$8:$F$42,SMALL(IF("Página Web"='03.Muestra'!$D$8:$D$42,ROW('03.Muestra'!$F$8:$F$42)-MIN(ROW('03.Muestra'!$D$8:$D$42))+1,""),ROW()-19)),"")</f>
        <v>https://www.bocm.es/ultimo-bocm</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Pasa</v>
      </c>
      <c r="AR21" s="75" t="str" cm="1">
        <f t="array" aca="1" ref="AR21" ca="1">IF($B21="","",IF(ISBLANK(INDIRECT("R9.Web!D"&amp;SUM(18,38*8,2))),"",INDIRECT("R9.Web!D"&amp;SUM(18,38*8,2))))</f>
        <v>N/A</v>
      </c>
      <c r="AS21" s="75" t="str" cm="1">
        <f t="array" aca="1" ref="AS21" ca="1">IF($B21="","",IF(ISBLANK(INDIRECT("R9.Web!D"&amp;SUM(18,38*9,2))),"",INDIRECT("R9.Web!D"&amp;SUM(18,38*9,2))))</f>
        <v>Pasa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Falla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N/A</v>
      </c>
      <c r="BY21" s="75" t="str" cm="1">
        <f t="array" aca="1" ref="BY21" ca="1">IF($B21="","",IF(ISBLANK(INDIRECT("R9.Web!D"&amp;SUM(18,38*41,2))),"",INDIRECT("R9.Web!D"&amp;SUM(18,38*41,2))))</f>
        <v>N/A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Falla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Falla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Inicio/autentificacion-verificacion</v>
      </c>
      <c r="D22" s="74" t="str" cm="1">
        <f t="array" ref="D22">IFERROR(INDEX('03.Muestra'!$F$8:$F$42,SMALL(IF("Página Web"='03.Muestra'!$D$8:$D$42,ROW('03.Muestra'!$F$8:$F$42)-MIN(ROW('03.Muestra'!$D$8:$D$42))+1,""),ROW()-19)),"")</f>
        <v>https://www.bocm.es/autentificacion-verificacion</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Pasa</v>
      </c>
      <c r="AR22" s="75" t="str" cm="1">
        <f t="array" aca="1" ref="AR22" ca="1">IF($B22="","",IF(ISBLANK(INDIRECT("R9.Web!D"&amp;SUM(18,38*8,3))),"",INDIRECT("R9.Web!D"&amp;SUM(18,38*8,3))))</f>
        <v>N/A</v>
      </c>
      <c r="AS22" s="75" t="str" cm="1">
        <f t="array" aca="1" ref="AS22" ca="1">IF($B22="","",IF(ISBLANK(INDIRECT("R9.Web!D"&amp;SUM(18,38*9,3))),"",INDIRECT("R9.Web!D"&amp;SUM(18,38*9,3))))</f>
        <v>Pasa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Falla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N/A</v>
      </c>
      <c r="BY22" s="75" t="str" cm="1">
        <f t="array" aca="1" ref="BY22" ca="1">IF($B22="","",IF(ISBLANK(INDIRECT("R9.Web!D"&amp;SUM(18,38*41,3))),"",INDIRECT("R9.Web!D"&amp;SUM(18,38*41,3))))</f>
        <v>N/A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Falla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Falla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Inicio/que-es-bocm</v>
      </c>
      <c r="D23" s="74" t="str" cm="1">
        <f t="array" ref="D23">IFERROR(INDEX('03.Muestra'!$F$8:$F$42,SMALL(IF("Página Web"='03.Muestra'!$D$8:$D$42,ROW('03.Muestra'!$F$8:$F$42)-MIN(ROW('03.Muestra'!$D$8:$D$42))+1,""),ROW()-19)),"")</f>
        <v>https://www.bocm.es/que-es-bocm</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Pasa</v>
      </c>
      <c r="AR23" s="75" t="str" cm="1">
        <f t="array" aca="1" ref="AR23" ca="1">IF($B23="","",IF(ISBLANK(INDIRECT("R9.Web!D"&amp;SUM(18,38*8,4))),"",INDIRECT("R9.Web!D"&amp;SUM(18,38*8,4))))</f>
        <v>N/A</v>
      </c>
      <c r="AS23" s="75" t="str" cm="1">
        <f t="array" aca="1" ref="AS23" ca="1">IF($B23="","",IF(ISBLANK(INDIRECT("R9.Web!D"&amp;SUM(18,38*9,4))),"",INDIRECT("R9.Web!D"&amp;SUM(18,38*9,4))))</f>
        <v>Pasa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Falla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N/A</v>
      </c>
      <c r="BY23" s="75" t="str" cm="1">
        <f t="array" aca="1" ref="BY23" ca="1">IF($B23="","",IF(ISBLANK(INDIRECT("R9.Web!D"&amp;SUM(18,38*41,4))),"",INDIRECT("R9.Web!D"&amp;SUM(18,38*41,4))))</f>
        <v>N/A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Falla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Falla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Inicio/organismo-autonomo</v>
      </c>
      <c r="D24" s="74" t="str" cm="1">
        <f t="array" ref="D24">IFERROR(INDEX('03.Muestra'!$F$8:$F$42,SMALL(IF("Página Web"='03.Muestra'!$D$8:$D$42,ROW('03.Muestra'!$F$8:$F$42)-MIN(ROW('03.Muestra'!$D$8:$D$42))+1,""),ROW()-19)),"")</f>
        <v>https://www.bocm.es/organismo-autonomo</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Pasa</v>
      </c>
      <c r="AR24" s="75" t="str" cm="1">
        <f t="array" aca="1" ref="AR24" ca="1">IF($B24="","",IF(ISBLANK(INDIRECT("R9.Web!D"&amp;SUM(18,38*8,5))),"",INDIRECT("R9.Web!D"&amp;SUM(18,38*8,5))))</f>
        <v>N/A</v>
      </c>
      <c r="AS24" s="75" t="str" cm="1">
        <f t="array" aca="1" ref="AS24" ca="1">IF($B24="","",IF(ISBLANK(INDIRECT("R9.Web!D"&amp;SUM(18,38*9,5))),"",INDIRECT("R9.Web!D"&amp;SUM(18,38*9,5))))</f>
        <v>Pasa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Falla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N/A</v>
      </c>
      <c r="BY24" s="75" t="str" cm="1">
        <f t="array" aca="1" ref="BY24" ca="1">IF($B24="","",IF(ISBLANK(INDIRECT("R9.Web!D"&amp;SUM(18,38*41,5))),"",INDIRECT("R9.Web!D"&amp;SUM(18,38*41,5))))</f>
        <v>N/A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Falla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Falla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Inicio/s/publicar-anuncio</v>
      </c>
      <c r="D25" s="74" t="str" cm="1">
        <f t="array" ref="D25">IFERROR(INDEX('03.Muestra'!$F$8:$F$42,SMALL(IF("Página Web"='03.Muestra'!$D$8:$D$42,ROW('03.Muestra'!$F$8:$F$42)-MIN(ROW('03.Muestra'!$D$8:$D$42))+1,""),ROW()-19)),"")</f>
        <v>https://www.bocm.es/publicar-anuncio</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Pasa</v>
      </c>
      <c r="AR25" s="75" t="str" cm="1">
        <f t="array" aca="1" ref="AR25" ca="1">IF($B25="","",IF(ISBLANK(INDIRECT("R9.Web!D"&amp;SUM(18,38*8,6))),"",INDIRECT("R9.Web!D"&amp;SUM(18,38*8,6))))</f>
        <v>N/A</v>
      </c>
      <c r="AS25" s="75" t="str" cm="1">
        <f t="array" aca="1" ref="AS25" ca="1">IF($B25="","",IF(ISBLANK(INDIRECT("R9.Web!D"&amp;SUM(18,38*9,6))),"",INDIRECT("R9.Web!D"&amp;SUM(18,38*9,6))))</f>
        <v>Pasa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Falla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N/A</v>
      </c>
      <c r="BY25" s="75" t="str" cm="1">
        <f t="array" aca="1" ref="BY25" ca="1">IF($B25="","",IF(ISBLANK(INDIRECT("R9.Web!D"&amp;SUM(18,38*41,6))),"",INDIRECT("R9.Web!D"&amp;SUM(18,38*41,6))))</f>
        <v>N/A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Falla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Falla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Inicio/declaracion-de-accesibilidad</v>
      </c>
      <c r="D26" s="74" t="str" cm="1">
        <f t="array" ref="D26">IFERROR(INDEX('03.Muestra'!$F$8:$F$42,SMALL(IF("Página Web"='03.Muestra'!$D$8:$D$42,ROW('03.Muestra'!$F$8:$F$42)-MIN(ROW('03.Muestra'!$D$8:$D$42))+1,""),ROW()-19)),"")</f>
        <v>https://www.bocm.es/declaracion-de-accesibilidad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Pasa</v>
      </c>
      <c r="AR26" s="75" t="str" cm="1">
        <f t="array" aca="1" ref="AR26" ca="1">IF($B26="","",IF(ISBLANK(INDIRECT("R9.Web!D"&amp;SUM(18,38*8,7))),"",INDIRECT("R9.Web!D"&amp;SUM(18,38*8,7))))</f>
        <v>N/A</v>
      </c>
      <c r="AS26" s="75" t="str" cm="1">
        <f t="array" aca="1" ref="AS26" ca="1">IF($B26="","",IF(ISBLANK(INDIRECT("R9.Web!D"&amp;SUM(18,38*9,7))),"",INDIRECT("R9.Web!D"&amp;SUM(18,38*9,7))))</f>
        <v>Pasa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Falla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N/A</v>
      </c>
      <c r="BY26" s="75" t="str" cm="1">
        <f t="array" aca="1" ref="BY26" ca="1">IF($B26="","",IF(ISBLANK(INDIRECT("R9.Web!D"&amp;SUM(18,38*41,7))),"",INDIRECT("R9.Web!D"&amp;SUM(18,38*41,7))))</f>
        <v>N/A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Falla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Falla</v>
      </c>
      <c r="CU26" s="76"/>
    </row>
    <row r="27" spans="2:100" ht="20.5">
      <c r="B27" s="39" t="str" cm="1">
        <f t="array" ref="B27">IFERROR(INDEX('03.Muestra'!$B$8:$B$42,SMALL(IF("Página Web"='03.Muestra'!$D$8:$D$42,ROW('03.Muestra'!$B$8:$B$42)-MIN(ROW('03.Muestra'!$D$8:$D$42))+1,""),ROW()-19)),"")</f>
        <v/>
      </c>
      <c r="C27" s="73" t="str" cm="1">
        <f t="array" ref="C27">IFERROR(INDEX('03.Muestra'!$C$8:$C$42,SMALL(IF("Página Web"='03.Muestra'!$D$8:$D$42,ROW('03.Muestra'!$C$8:$C$42)-MIN(ROW('03.Muestra'!$D$8:$D$42))+1,""),ROW()-19)),"")</f>
        <v/>
      </c>
      <c r="D27" s="74" t="str" cm="1">
        <f t="array" ref="D27">IFERROR(INDEX('03.Muestra'!$F$8:$F$42,SMALL(IF("Página Web"='03.Muestra'!$D$8:$D$42,ROW('03.Muestra'!$F$8:$F$42)-MIN(ROW('03.Muestra'!$D$8:$D$42))+1,""),ROW()-19)),"")</f>
        <v/>
      </c>
      <c r="E27" s="75" t="str" cm="1">
        <f t="array" aca="1" ref="E27" ca="1">IF($B27="","",IF(ISBLANK(INDIRECT("R5.Genéricos!D"&amp;SUM(18,38*0,8))),"",INDIRECT("R5.Genéricos!D"&amp;SUM(18,38*0,8))))</f>
        <v/>
      </c>
      <c r="F27" s="75" t="str" cm="1">
        <f t="array" aca="1" ref="F27" ca="1">IF($B27="","",IF(ISBLANK(INDIRECT("R5.Genéricos!D"&amp;SUM(18,38*1,8))),"",INDIRECT("R5.Genéricos!D"&amp;SUM(18,38*1,8))))</f>
        <v/>
      </c>
      <c r="G27" s="75" t="str" cm="1">
        <f t="array" aca="1" ref="G27" ca="1">IF($B27="","",IF(ISBLANK(INDIRECT("R5.Genéricos!D"&amp;SUM(18,38*2,8))),"",INDIRECT("R5.Genéricos!D"&amp;SUM(18,38*2,8))))</f>
        <v/>
      </c>
      <c r="H27" s="75" t="str" cm="1">
        <f t="array" aca="1" ref="H27" ca="1">IF($B27="","",IF(ISBLANK(INDIRECT("R6.Voz!D"&amp;SUM(18,38*0,8))),"",INDIRECT("R6.Voz!D"&amp;SUM(18,38*0,8))))</f>
        <v/>
      </c>
      <c r="I27" s="75" t="str" cm="1">
        <f t="array" aca="1" ref="I27" ca="1">IF($B27="","",IF(ISBLANK(INDIRECT("R6.Voz!D"&amp;SUM(18,38*1,8))),"",INDIRECT("R6.Voz!D"&amp;SUM(18,38*1,8))))</f>
        <v/>
      </c>
      <c r="J27" s="75" t="str" cm="1">
        <f t="array" aca="1" ref="J27" ca="1">IF($B27="","",IF(ISBLANK(INDIRECT("R6.Voz!D"&amp;SUM(18,38*2,8))),"",INDIRECT("R6.Voz!D"&amp;SUM(18,38*2,8))))</f>
        <v/>
      </c>
      <c r="K27" s="75" t="str" cm="1">
        <f t="array" aca="1" ref="K27" ca="1">IF($B27="","",IF(ISBLANK(INDIRECT("R6.Voz!D"&amp;SUM(18,38*3,8))),"",INDIRECT("R6.Voz!D"&amp;SUM(18,38*3,8))))</f>
        <v/>
      </c>
      <c r="L27" s="75" t="str" cm="1">
        <f t="array" aca="1" ref="L27" ca="1">IF($B27="","",IF(ISBLANK(INDIRECT("R6.Voz!D"&amp;SUM(18,38*4,8))),"",INDIRECT("R6.Voz!D"&amp;SUM(18,38*4,8))))</f>
        <v/>
      </c>
      <c r="M27" s="75" t="str" cm="1">
        <f t="array" aca="1" ref="M27" ca="1">IF($B27="","",IF(ISBLANK(INDIRECT("R6.Voz!D"&amp;SUM(18,38*5,8))),"",INDIRECT("R6.Voz!D"&amp;SUM(18,38*5,8))))</f>
        <v/>
      </c>
      <c r="N27" s="75" t="str" cm="1">
        <f t="array" aca="1" ref="N27" ca="1">IF($B27="","",IF(ISBLANK(INDIRECT("R6.Voz!D"&amp;SUM(18,38*6,8))),"",INDIRECT("R6.Voz!D"&amp;SUM(18,38*6,8))))</f>
        <v/>
      </c>
      <c r="O27" s="75" t="str" cm="1">
        <f t="array" aca="1" ref="O27" ca="1">IF($B27="","",IF(ISBLANK(INDIRECT("R6.Voz!D"&amp;SUM(18,38*7,8))),"",INDIRECT("R6.Voz!D"&amp;SUM(18,38*7,8))))</f>
        <v/>
      </c>
      <c r="P27" s="75" t="str" cm="1">
        <f t="array" aca="1" ref="P27" ca="1">IF($B27="","",IF(ISBLANK(INDIRECT("R6.Voz!D"&amp;SUM(18,38*8,8))),"",INDIRECT("R6.Voz!D"&amp;SUM(18,38*8,8))))</f>
        <v/>
      </c>
      <c r="Q27" s="75" t="str" cm="1">
        <f t="array" aca="1" ref="Q27" ca="1">IF($B27="","",IF(ISBLANK(INDIRECT("R6.Voz!D"&amp;SUM(18,38*9,8))),"",INDIRECT("R6.Voz!D"&amp;SUM(18,38*9,8))))</f>
        <v/>
      </c>
      <c r="R27" s="75" t="str" cm="1">
        <f t="array" aca="1" ref="R27" ca="1">IF($B27="","",IF(ISBLANK(INDIRECT("R6.Voz!D"&amp;SUM(18,38*10,8))),"",INDIRECT("R6.Voz!D"&amp;SUM(18,38*10,8))))</f>
        <v/>
      </c>
      <c r="S27" s="75" t="str" cm="1">
        <f t="array" aca="1" ref="S27" ca="1">IF($B27="","",IF(ISBLANK(INDIRECT("R6.Voz!D"&amp;SUM(18,38*11,8))),"",INDIRECT("R6.Voz!D"&amp;SUM(18,38*11,8))))</f>
        <v/>
      </c>
      <c r="T27" s="75" t="str" cm="1">
        <f t="array" aca="1" ref="T27" ca="1">IF($B27="","",IF(ISBLANK(INDIRECT("R6.Voz!D"&amp;SUM(18,38*12,8))),"",INDIRECT("R6.Voz!D"&amp;SUM(18,38*12,8))))</f>
        <v/>
      </c>
      <c r="U27" s="75" t="str" cm="1">
        <f t="array" aca="1" ref="U27" ca="1">IF($B27="","",IF(ISBLANK(INDIRECT("R6.Voz!D"&amp;SUM(18,38*13,8))),"",INDIRECT("R6.Voz!D"&amp;SUM(18,38*13,8))))</f>
        <v/>
      </c>
      <c r="V27" s="75" t="str" cm="1">
        <f t="array" aca="1" ref="V27" ca="1">IF($B27="","",IF(ISBLANK(INDIRECT("R6.Voz!D"&amp;SUM(18,38*14,8))),"",INDIRECT("R6.Voz!D"&amp;SUM(18,38*14,8))))</f>
        <v/>
      </c>
      <c r="W27" s="75" t="str" cm="1">
        <f t="array" aca="1" ref="W27" ca="1">IF($B27="","",IF(ISBLANK(INDIRECT("R6.Voz!D"&amp;SUM(18,38*15,8))),"",INDIRECT("R6.Voz!D"&amp;SUM(18,38*15,8))))</f>
        <v/>
      </c>
      <c r="X27" s="75" t="str" cm="1">
        <f t="array" aca="1" ref="X27" ca="1">IF($B27="","",IF(ISBLANK(INDIRECT("R6.Voz!D"&amp;SUM(18,38*16,8))),"",INDIRECT("R6.Voz!D"&amp;SUM(18,38*16,8))))</f>
        <v/>
      </c>
      <c r="Y27" s="75" t="str" cm="1">
        <f t="array" aca="1" ref="Y27" ca="1">IF($B27="","",IF(ISBLANK(INDIRECT("R6.Voz!D"&amp;SUM(18,38*17,8))),"",INDIRECT("R6.Voz!D"&amp;SUM(18,38*17,8))))</f>
        <v/>
      </c>
      <c r="Z27" s="75" t="str" cm="1">
        <f t="array" aca="1" ref="Z27" ca="1">IF($B27="","",IF(ISBLANK(INDIRECT("R6.Voz!D"&amp;SUM(18,38*18,8))),"",INDIRECT("R6.Voz!D"&amp;SUM(18,38*18,8))))</f>
        <v/>
      </c>
      <c r="AA27" s="75" t="str" cm="1">
        <f t="array" aca="1" ref="AA27" ca="1">IF($B27="","",IF(ISBLANK(INDIRECT("R7.Video!D"&amp;SUM(18,38*0,8))),"",INDIRECT("R7.Video!D"&amp;SUM(18,38*0,8))))</f>
        <v/>
      </c>
      <c r="AB27" s="75" t="str" cm="1">
        <f t="array" aca="1" ref="AB27" ca="1">IF($B27="","",IF(ISBLANK(INDIRECT("R7.Video!D"&amp;SUM(18,38*1,8))),"",INDIRECT("R7.Video!D"&amp;SUM(18,38*1,8))))</f>
        <v/>
      </c>
      <c r="AC27" s="75" t="str" cm="1">
        <f t="array" aca="1" ref="AC27" ca="1">IF($B27="","",IF(ISBLANK(INDIRECT("R7.Video!D"&amp;SUM(18,38*2,8))),"",INDIRECT("R7.Video!D"&amp;SUM(18,38*2,8))))</f>
        <v/>
      </c>
      <c r="AD27" s="75" t="str" cm="1">
        <f t="array" aca="1" ref="AD27" ca="1">IF($B27="","",IF(ISBLANK(INDIRECT("R7.Video!D"&amp;SUM(18,38*3,8))),"",INDIRECT("R7.Video!D"&amp;SUM(18,38*3,8))))</f>
        <v/>
      </c>
      <c r="AE27" s="75" t="str" cm="1">
        <f t="array" aca="1" ref="AE27" ca="1">IF($B27="","",IF(ISBLANK(INDIRECT("R7.Video!D"&amp;SUM(18,38*4,8))),"",INDIRECT("R7.Video!D"&amp;SUM(18,38*4,8))))</f>
        <v/>
      </c>
      <c r="AF27" s="75" t="str" cm="1">
        <f t="array" aca="1" ref="AF27" ca="1">IF($B27="","",IF(ISBLANK(INDIRECT("R7.Video!D"&amp;SUM(18,38*5,8))),"",INDIRECT("R7.Video!D"&amp;SUM(18,38*5,8))))</f>
        <v/>
      </c>
      <c r="AG27" s="75" t="str" cm="1">
        <f t="array" aca="1" ref="AG27" ca="1">IF($B27="","",IF(ISBLANK(INDIRECT("R7.Video!D"&amp;SUM(18,38*6,8))),"",INDIRECT("R7.Video!D"&amp;SUM(18,38*6,8))))</f>
        <v/>
      </c>
      <c r="AH27" s="75" t="str" cm="1">
        <f t="array" aca="1" ref="AH27" ca="1">IF($B27="","",IF(ISBLANK(INDIRECT("R7.Video!D"&amp;SUM(18,38*7,8))),"",INDIRECT("R7.Video!D"&amp;SUM(18,38*7,8))))</f>
        <v/>
      </c>
      <c r="AI27" s="75" t="str" cm="1">
        <f t="array" aca="1" ref="AI27" ca="1">IF($B27="","",IF(ISBLANK(INDIRECT("R7.Video!D"&amp;SUM(18,38*8,8))),"",INDIRECT("R7.Video!D"&amp;SUM(18,38*8,8))))</f>
        <v/>
      </c>
      <c r="AJ27" s="75" t="str" cm="1">
        <f t="array" aca="1" ref="AJ27" ca="1">IF($B27="","",IF(ISBLANK(INDIRECT("R9.Web!D"&amp;SUM(18,38*0,8))),"",INDIRECT("R9.Web!D"&amp;SUM(18,38*0,8))))</f>
        <v/>
      </c>
      <c r="AK27" s="75" t="str" cm="1">
        <f t="array" aca="1" ref="AK27" ca="1">IF($B27="","",IF(ISBLANK(INDIRECT("R9.Web!D"&amp;SUM(18,38*1,8))),"",INDIRECT("R9.Web!D"&amp;SUM(18,38*1,8))))</f>
        <v/>
      </c>
      <c r="AL27" s="75" t="str" cm="1">
        <f t="array" aca="1" ref="AL27" ca="1">IF($B27="","",IF(ISBLANK(INDIRECT("R9.Web!D"&amp;SUM(18,38*2,8))),"",INDIRECT("R9.Web!D"&amp;SUM(18,38*2,8))))</f>
        <v/>
      </c>
      <c r="AM27" s="75" t="str" cm="1">
        <f t="array" aca="1" ref="AM27" ca="1">IF($B27="","",IF(ISBLANK(INDIRECT("R9.Web!D"&amp;SUM(18,38*3,8))),"",INDIRECT("R9.Web!D"&amp;SUM(18,38*3,8))))</f>
        <v/>
      </c>
      <c r="AN27" s="75" t="str" cm="1">
        <f t="array" aca="1" ref="AN27" ca="1">IF($B27="","",IF(ISBLANK(INDIRECT("R9.Web!D"&amp;SUM(18,38*4,8))),"",INDIRECT("R9.Web!D"&amp;SUM(18,38*4,8))))</f>
        <v/>
      </c>
      <c r="AO27" s="75" t="str" cm="1">
        <f t="array" aca="1" ref="AO27" ca="1">IF($B27="","",IF(ISBLANK(INDIRECT("R9.Web!D"&amp;SUM(18,38*5,8))),"",INDIRECT("R9.Web!D"&amp;SUM(18,38*5,8))))</f>
        <v/>
      </c>
      <c r="AP27" s="75" t="str" cm="1">
        <f t="array" aca="1" ref="AP27" ca="1">IF($B27="","",IF(ISBLANK(INDIRECT("R9.Web!D"&amp;SUM(18,38*6,8))),"",INDIRECT("R9.Web!D"&amp;SUM(18,38*6,8))))</f>
        <v/>
      </c>
      <c r="AQ27" s="75" t="str" cm="1">
        <f t="array" aca="1" ref="AQ27" ca="1">IF($B27="","",IF(ISBLANK(INDIRECT("R9.Web!D"&amp;SUM(18,38*7,8))),"",INDIRECT("R9.Web!D"&amp;SUM(18,38*7,8))))</f>
        <v/>
      </c>
      <c r="AR27" s="75" t="str" cm="1">
        <f t="array" aca="1" ref="AR27" ca="1">IF($B27="","",IF(ISBLANK(INDIRECT("R9.Web!D"&amp;SUM(18,38*8,8))),"",INDIRECT("R9.Web!D"&amp;SUM(18,38*8,8))))</f>
        <v/>
      </c>
      <c r="AS27" s="75" t="str" cm="1">
        <f t="array" aca="1" ref="AS27" ca="1">IF($B27="","",IF(ISBLANK(INDIRECT("R9.Web!D"&amp;SUM(18,38*9,8))),"",INDIRECT("R9.Web!D"&amp;SUM(18,38*9,8))))</f>
        <v/>
      </c>
      <c r="AT27" s="75" t="str" cm="1">
        <f t="array" aca="1" ref="AT27" ca="1">IF($B27="","",IF(ISBLANK(INDIRECT("R9.Web!D"&amp;SUM(18,38*10,8))),"",INDIRECT("R9.Web!D"&amp;SUM(18,38*10,8))))</f>
        <v/>
      </c>
      <c r="AU27" s="75" t="str" cm="1">
        <f t="array" aca="1" ref="AU27" ca="1">IF($B27="","",IF(ISBLANK(INDIRECT("R9.Web!D"&amp;SUM(18,38*11,8))),"",INDIRECT("R9.Web!D"&amp;SUM(18,38*11,8))))</f>
        <v/>
      </c>
      <c r="AV27" s="75" t="str" cm="1">
        <f t="array" aca="1" ref="AV27" ca="1">IF($B27="","",IF(ISBLANK(INDIRECT("R9.Web!D"&amp;SUM(18,38*12,8))),"",INDIRECT("R9.Web!D"&amp;SUM(18,38*12,8))))</f>
        <v/>
      </c>
      <c r="AW27" s="75" t="str" cm="1">
        <f t="array" aca="1" ref="AW27" ca="1">IF($B27="","",IF(ISBLANK(INDIRECT("R9.Web!D"&amp;SUM(18,38*13,8))),"",INDIRECT("R9.Web!D"&amp;SUM(18,38*13,8))))</f>
        <v/>
      </c>
      <c r="AX27" s="75" t="str" cm="1">
        <f t="array" aca="1" ref="AX27" ca="1">IF($B27="","",IF(ISBLANK(INDIRECT("R9.Web!D"&amp;SUM(18,38*14,8))),"",INDIRECT("R9.Web!D"&amp;SUM(18,38*14,8))))</f>
        <v/>
      </c>
      <c r="AY27" s="75" t="str" cm="1">
        <f t="array" aca="1" ref="AY27" ca="1">IF($B27="","",IF(ISBLANK(INDIRECT("R9.Web!D"&amp;SUM(18,38*15,8))),"",INDIRECT("R9.Web!D"&amp;SUM(18,38*15,8))))</f>
        <v/>
      </c>
      <c r="AZ27" s="75" t="str" cm="1">
        <f t="array" aca="1" ref="AZ27" ca="1">IF($B27="","",IF(ISBLANK(INDIRECT("R9.Web!D"&amp;SUM(18,38*16,8))),"",INDIRECT("R9.Web!D"&amp;SUM(18,38*16,8))))</f>
        <v/>
      </c>
      <c r="BA27" s="75" t="str" cm="1">
        <f t="array" aca="1" ref="BA27" ca="1">IF($B27="","",IF(ISBLANK(INDIRECT("R9.Web!D"&amp;SUM(18,38*17,8))),"",INDIRECT("R9.Web!D"&amp;SUM(18,38*17,8))))</f>
        <v/>
      </c>
      <c r="BB27" s="75" t="str" cm="1">
        <f t="array" aca="1" ref="BB27" ca="1">IF($B27="","",IF(ISBLANK(INDIRECT("R9.Web!D"&amp;SUM(18,38*18,8))),"",INDIRECT("R9.Web!D"&amp;SUM(18,38*18,8))))</f>
        <v/>
      </c>
      <c r="BC27" s="75" t="str" cm="1">
        <f t="array" aca="1" ref="BC27" ca="1">IF($B27="","",IF(ISBLANK(INDIRECT("R9.Web!D"&amp;SUM(18,38*19,8))),"",INDIRECT("R9.Web!D"&amp;SUM(18,38*19,8))))</f>
        <v/>
      </c>
      <c r="BD27" s="75" t="str" cm="1">
        <f t="array" aca="1" ref="BD27" ca="1">IF($B27="","",IF(ISBLANK(INDIRECT("R9.Web!D"&amp;SUM(18,38*20,8))),"",INDIRECT("R9.Web!D"&amp;SUM(18,38*20,8))))</f>
        <v/>
      </c>
      <c r="BE27" s="75" t="str" cm="1">
        <f t="array" aca="1" ref="BE27" ca="1">IF($B27="","",IF(ISBLANK(INDIRECT("R9.Web!D"&amp;SUM(18,38*21,8))),"",INDIRECT("R9.Web!D"&amp;SUM(18,38*21,8))))</f>
        <v/>
      </c>
      <c r="BF27" s="75" t="str" cm="1">
        <f t="array" aca="1" ref="BF27" ca="1">IF($B27="","",IF(ISBLANK(INDIRECT("R9.Web!D"&amp;SUM(18,38*22,8))),"",INDIRECT("R9.Web!D"&amp;SUM(18,38*22,8))))</f>
        <v/>
      </c>
      <c r="BG27" s="75" t="str" cm="1">
        <f t="array" aca="1" ref="BG27" ca="1">IF($B27="","",IF(ISBLANK(INDIRECT("R9.Web!D"&amp;SUM(18,38*23,8))),"",INDIRECT("R9.Web!D"&amp;SUM(18,38*23,8))))</f>
        <v/>
      </c>
      <c r="BH27" s="75" t="str" cm="1">
        <f t="array" aca="1" ref="BH27" ca="1">IF($B27="","",IF(ISBLANK(INDIRECT("R9.Web!D"&amp;SUM(18,38*24,8))),"",INDIRECT("R9.Web!D"&amp;SUM(18,38*24,8))))</f>
        <v/>
      </c>
      <c r="BI27" s="75" t="str" cm="1">
        <f t="array" aca="1" ref="BI27" ca="1">IF($B27="","",IF(ISBLANK(INDIRECT("R9.Web!D"&amp;SUM(18,38*25,8))),"",INDIRECT("R9.Web!D"&amp;SUM(18,38*25,8))))</f>
        <v/>
      </c>
      <c r="BJ27" s="75" t="str" cm="1">
        <f t="array" aca="1" ref="BJ27" ca="1">IF($B27="","",IF(ISBLANK(INDIRECT("R9.Web!D"&amp;SUM(18,38*26,8))),"",INDIRECT("R9.Web!D"&amp;SUM(18,38*26,8))))</f>
        <v/>
      </c>
      <c r="BK27" s="75" t="str" cm="1">
        <f t="array" aca="1" ref="BK27" ca="1">IF($B27="","",IF(ISBLANK(INDIRECT("R9.Web!D"&amp;SUM(18,38*27,8))),"",INDIRECT("R9.Web!D"&amp;SUM(18,38*27,8))))</f>
        <v/>
      </c>
      <c r="BL27" s="75" t="str" cm="1">
        <f t="array" aca="1" ref="BL27" ca="1">IF($B27="","",IF(ISBLANK(INDIRECT("R9.Web!D"&amp;SUM(18,38*28,8))),"",INDIRECT("R9.Web!D"&amp;SUM(18,38*28,8))))</f>
        <v/>
      </c>
      <c r="BM27" s="75" t="str" cm="1">
        <f t="array" aca="1" ref="BM27" ca="1">IF($B27="","",IF(ISBLANK(INDIRECT("R9.Web!D"&amp;SUM(18,38*29,8))),"",INDIRECT("R9.Web!D"&amp;SUM(18,38*29,8))))</f>
        <v/>
      </c>
      <c r="BN27" s="75" t="str" cm="1">
        <f t="array" aca="1" ref="BN27" ca="1">IF($B27="","",IF(ISBLANK(INDIRECT("R9.Web!D"&amp;SUM(18,38*30,8))),"",INDIRECT("R9.Web!D"&amp;SUM(18,38*30,8))))</f>
        <v/>
      </c>
      <c r="BO27" s="75" t="str" cm="1">
        <f t="array" aca="1" ref="BO27" ca="1">IF($B27="","",IF(ISBLANK(INDIRECT("R9.Web!D"&amp;SUM(18,38*31,8))),"",INDIRECT("R9.Web!D"&amp;SUM(18,38*31,8))))</f>
        <v/>
      </c>
      <c r="BP27" s="75" t="str" cm="1">
        <f t="array" aca="1" ref="BP27" ca="1">IF($B27="","",IF(ISBLANK(INDIRECT("R9.Web!D"&amp;SUM(18,38*32,8))),"",INDIRECT("R9.Web!D"&amp;SUM(18,38*32,8))))</f>
        <v/>
      </c>
      <c r="BQ27" s="75" t="str" cm="1">
        <f t="array" aca="1" ref="BQ27" ca="1">IF($B27="","",IF(ISBLANK(INDIRECT("R9.Web!D"&amp;SUM(18,38*33,8))),"",INDIRECT("R9.Web!D"&amp;SUM(18,38*33,8))))</f>
        <v/>
      </c>
      <c r="BR27" s="75" t="str" cm="1">
        <f t="array" aca="1" ref="BR27" ca="1">IF($B27="","",IF(ISBLANK(INDIRECT("R9.Web!D"&amp;SUM(18,38*34,8))),"",INDIRECT("R9.Web!D"&amp;SUM(18,38*34,8))))</f>
        <v/>
      </c>
      <c r="BS27" s="75" t="str" cm="1">
        <f t="array" aca="1" ref="BS27" ca="1">IF($B27="","",IF(ISBLANK(INDIRECT("R9.Web!D"&amp;SUM(18,38*35,8))),"",INDIRECT("R9.Web!D"&amp;SUM(18,38*35,8))))</f>
        <v/>
      </c>
      <c r="BT27" s="75" t="str" cm="1">
        <f t="array" aca="1" ref="BT27" ca="1">IF($B27="","",IF(ISBLANK(INDIRECT("R9.Web!D"&amp;SUM(18,38*36,8))),"",INDIRECT("R9.Web!D"&amp;SUM(18,38*36,8))))</f>
        <v/>
      </c>
      <c r="BU27" s="75" t="str" cm="1">
        <f t="array" aca="1" ref="BU27" ca="1">IF($B27="","",IF(ISBLANK(INDIRECT("R9.Web!D"&amp;SUM(18,38*37,8))),"",INDIRECT("R9.Web!D"&amp;SUM(18,38*37,8))))</f>
        <v/>
      </c>
      <c r="BV27" s="75" t="str" cm="1">
        <f t="array" aca="1" ref="BV27" ca="1">IF($B27="","",IF(ISBLANK(INDIRECT("R9.Web!D"&amp;SUM(18,38*38,8))),"",INDIRECT("R9.Web!D"&amp;SUM(18,38*38,8))))</f>
        <v/>
      </c>
      <c r="BW27" s="75" t="str" cm="1">
        <f t="array" aca="1" ref="BW27" ca="1">IF($B27="","",IF(ISBLANK(INDIRECT("R9.Web!D"&amp;SUM(18,38*39,8))),"",INDIRECT("R9.Web!D"&amp;SUM(18,38*39,8))))</f>
        <v/>
      </c>
      <c r="BX27" s="75" t="str" cm="1">
        <f t="array" aca="1" ref="BX27" ca="1">IF($B27="","",IF(ISBLANK(INDIRECT("R9.Web!D"&amp;SUM(18,38*40,8))),"",INDIRECT("R9.Web!D"&amp;SUM(18,38*40,8))))</f>
        <v/>
      </c>
      <c r="BY27" s="75" t="str" cm="1">
        <f t="array" aca="1" ref="BY27" ca="1">IF($B27="","",IF(ISBLANK(INDIRECT("R9.Web!D"&amp;SUM(18,38*41,8))),"",INDIRECT("R9.Web!D"&amp;SUM(18,38*41,8))))</f>
        <v/>
      </c>
      <c r="BZ27" s="75" t="str" cm="1">
        <f t="array" aca="1" ref="BZ27" ca="1">IF($B27="","",IF(ISBLANK(INDIRECT("R9.Web!D"&amp;SUM(18,38*42,8))),"",INDIRECT("R9.Web!D"&amp;SUM(18,38*42,8))))</f>
        <v/>
      </c>
      <c r="CA27" s="75" t="str" cm="1">
        <f t="array" aca="1" ref="CA27" ca="1">IF($B27="","",IF(ISBLANK(INDIRECT("R9.Web!D"&amp;SUM(18,38*43,8))),"",INDIRECT("R9.Web!D"&amp;SUM(18,38*43,8))))</f>
        <v/>
      </c>
      <c r="CB27" s="75" t="str" cm="1">
        <f t="array" aca="1" ref="CB27" ca="1">IF($B27="","",IF(ISBLANK(INDIRECT("R9.Web!D"&amp;SUM(18,38*44,8))),"",INDIRECT("R9.Web!D"&amp;SUM(18,38*44,8))))</f>
        <v/>
      </c>
      <c r="CC27" s="75" t="str" cm="1">
        <f t="array" aca="1" ref="CC27" ca="1">IF($B27="","",IF(ISBLANK(INDIRECT("R9.Web!D"&amp;SUM(18,38*45,8))),"",INDIRECT("R9.Web!D"&amp;SUM(18,38*45,8))))</f>
        <v/>
      </c>
      <c r="CD27" s="75" t="str" cm="1">
        <f t="array" aca="1" ref="CD27" ca="1">IF($B27="","",IF(ISBLANK(INDIRECT("R9.Web!D"&amp;SUM(18,38*46,8))),"",INDIRECT("R9.Web!D"&amp;SUM(18,38*46,8))))</f>
        <v/>
      </c>
      <c r="CE27" s="75" t="str" cm="1">
        <f t="array" aca="1" ref="CE27" ca="1">IF($B27="","",IF(ISBLANK(INDIRECT("R9.Web!D"&amp;SUM(18,38*47,8))),"",INDIRECT("R9.Web!D"&amp;SUM(18,38*47,8))))</f>
        <v/>
      </c>
      <c r="CF27" s="75" t="str" cm="1">
        <f t="array" aca="1" ref="CF27" ca="1">IF($B27="","",IF(ISBLANK(INDIRECT("R9.Web!D"&amp;SUM(18,38*48,8))),"",INDIRECT("R9.Web!D"&amp;SUM(18,38*48,8))))</f>
        <v/>
      </c>
      <c r="CG27" s="75" t="str" cm="1">
        <f t="array" aca="1" ref="CG27" ca="1">IF($B27="","",IF(ISBLANK(INDIRECT("R9.Web!D"&amp;SUM(18,38*49,8))),"",INDIRECT("R9.Web!D"&amp;SUM(18,38*49,8))))</f>
        <v/>
      </c>
      <c r="CH27" s="75" t="str" cm="1">
        <f t="array" aca="1" ref="CH27" ca="1">IF($B27="","",IF(ISBLANK(INDIRECT("R11.Software!D"&amp;SUM(18,38*0,8))),"",INDIRECT("R11.Software!D"&amp;SUM(18,38*0,8))))</f>
        <v/>
      </c>
      <c r="CI27" s="75" t="str" cm="1">
        <f t="array" aca="1" ref="CI27" ca="1">IF($B27="","",IF(ISBLANK(INDIRECT("R11.Software!D"&amp;SUM(18,38*1,8))),"",INDIRECT("R11.Software!D"&amp;SUM(18,38*1,8))))</f>
        <v/>
      </c>
      <c r="CJ27" s="75" t="str" cm="1">
        <f t="array" aca="1" ref="CJ27" ca="1">IF($B27="","",IF(ISBLANK(INDIRECT("R11.Software!D"&amp;SUM(18,38*2,8))),"",INDIRECT("R11.Software!D"&amp;SUM(18,38*2,8))))</f>
        <v/>
      </c>
      <c r="CK27" s="75" t="str" cm="1">
        <f t="array" aca="1" ref="CK27" ca="1">IF($B27="","",IF(ISBLANK(INDIRECT("R11.Software!D"&amp;SUM(18,38*3,8))),"",INDIRECT("R11.Software!D"&amp;SUM(18,38*3,8))))</f>
        <v/>
      </c>
      <c r="CL27" s="75" t="str" cm="1">
        <f t="array" aca="1" ref="CL27" ca="1">IF($B27="","",IF(ISBLANK(INDIRECT("R11.Software!D"&amp;SUM(18,38*4,8))),"",INDIRECT("R11.Software!D"&amp;SUM(18,38*4,8))))</f>
        <v/>
      </c>
      <c r="CM27" s="75" t="str" cm="1">
        <f t="array" aca="1" ref="CM27" ca="1">IF($B27="","",IF(ISBLANK(INDIRECT("R11.Software!D"&amp;SUM(18,38*5,8))),"",INDIRECT("R11.Software!D"&amp;SUM(18,38*5,8))))</f>
        <v/>
      </c>
      <c r="CN27" s="75" t="str" cm="1">
        <f t="array" aca="1" ref="CN27" ca="1">IF($B27="","",IF(ISBLANK(INDIRECT("R12.ServiciosApoyo!D"&amp;SUM(18,38*0,8))),"",INDIRECT("R12.ServiciosApoyo!D"&amp;SUM(18,38*0,8))))</f>
        <v/>
      </c>
      <c r="CO27" s="75" t="str" cm="1">
        <f t="array" aca="1" ref="CO27" ca="1">IF($B27="","",IF(ISBLANK(INDIRECT("R12.ServiciosApoyo!D"&amp;SUM(18,38*1,8))),"",INDIRECT("R12.ServiciosApoyo!D"&amp;SUM(18,38*1,8))))</f>
        <v/>
      </c>
      <c r="CP27" s="75" t="str" cm="1">
        <f t="array" aca="1" ref="CP27" ca="1">IF($B27="","",IF(ISBLANK(INDIRECT("R12.ServiciosApoyo!D"&amp;SUM(18,38*2,8))),"",INDIRECT("R12.ServiciosApoyo!D"&amp;SUM(18,38*2,8))))</f>
        <v/>
      </c>
      <c r="CQ27" s="75" t="str" cm="1">
        <f t="array" aca="1" ref="CQ27" ca="1">IF($B27="","",IF(ISBLANK(INDIRECT("R12.ServiciosApoyo!D"&amp;SUM(18,38*3,8))),"",INDIRECT("R12.ServiciosApoyo!D"&amp;SUM(18,38*3,8))))</f>
        <v/>
      </c>
      <c r="CR27" s="75" t="str" cm="1">
        <f t="array" aca="1" ref="CR27" ca="1">IF($B27="","",IF(ISBLANK(INDIRECT("R12.ServiciosApoyo!D"&amp;SUM(18,38*4,8))),"",INDIRECT("R12.ServiciosApoyo!D"&amp;SUM(18,38*4,8))))</f>
        <v/>
      </c>
      <c r="CU27" s="76"/>
    </row>
    <row r="28" spans="2:100" ht="20.5">
      <c r="B28" s="39" t="str" cm="1">
        <f t="array" ref="B28">IFERROR(INDEX('03.Muestra'!$B$8:$B$42,SMALL(IF("Página Web"='03.Muestra'!$D$8:$D$42,ROW('03.Muestra'!$B$8:$B$42)-MIN(ROW('03.Muestra'!$D$8:$D$42))+1,""),ROW()-19)),"")</f>
        <v/>
      </c>
      <c r="C28" s="73" t="str" cm="1">
        <f t="array" ref="C28">IFERROR(INDEX('03.Muestra'!$C$8:$C$42,SMALL(IF("Página Web"='03.Muestra'!$D$8:$D$42,ROW('03.Muestra'!$C$8:$C$42)-MIN(ROW('03.Muestra'!$D$8:$D$42))+1,""),ROW()-19)),"")</f>
        <v/>
      </c>
      <c r="D28" s="74" t="str" cm="1">
        <f t="array" ref="D28">IFERROR(INDEX('03.Muestra'!$F$8:$F$42,SMALL(IF("Página Web"='03.Muestra'!$D$8:$D$42,ROW('03.Muestra'!$F$8:$F$42)-MIN(ROW('03.Muestra'!$D$8:$D$42))+1,""),ROW()-19)),"")</f>
        <v/>
      </c>
      <c r="E28" s="75" t="str" cm="1">
        <f t="array" aca="1" ref="E28" ca="1">IF($B28="","",IF(ISBLANK(INDIRECT("R5.Genéricos!D"&amp;SUM(18,38*0,9))),"",INDIRECT("R5.Genéricos!D"&amp;SUM(18,38*0,9))))</f>
        <v/>
      </c>
      <c r="F28" s="75" t="str" cm="1">
        <f t="array" aca="1" ref="F28" ca="1">IF($B28="","",IF(ISBLANK(INDIRECT("R5.Genéricos!D"&amp;SUM(18,38*1,9))),"",INDIRECT("R5.Genéricos!D"&amp;SUM(18,38*1,9))))</f>
        <v/>
      </c>
      <c r="G28" s="75" t="str" cm="1">
        <f t="array" aca="1" ref="G28" ca="1">IF($B28="","",IF(ISBLANK(INDIRECT("R5.Genéricos!D"&amp;SUM(18,38*2,9))),"",INDIRECT("R5.Genéricos!D"&amp;SUM(18,38*2,9))))</f>
        <v/>
      </c>
      <c r="H28" s="75" t="str" cm="1">
        <f t="array" aca="1" ref="H28" ca="1">IF($B28="","",IF(ISBLANK(INDIRECT("R6.Voz!D"&amp;SUM(18,38*0,9))),"",INDIRECT("R6.Voz!D"&amp;SUM(18,38*0,9))))</f>
        <v/>
      </c>
      <c r="I28" s="75" t="str" cm="1">
        <f t="array" aca="1" ref="I28" ca="1">IF($B28="","",IF(ISBLANK(INDIRECT("R6.Voz!D"&amp;SUM(18,38*1,9))),"",INDIRECT("R6.Voz!D"&amp;SUM(18,38*1,9))))</f>
        <v/>
      </c>
      <c r="J28" s="75" t="str" cm="1">
        <f t="array" aca="1" ref="J28" ca="1">IF($B28="","",IF(ISBLANK(INDIRECT("R6.Voz!D"&amp;SUM(18,38*2,9))),"",INDIRECT("R6.Voz!D"&amp;SUM(18,38*2,9))))</f>
        <v/>
      </c>
      <c r="K28" s="75" t="str" cm="1">
        <f t="array" aca="1" ref="K28" ca="1">IF($B28="","",IF(ISBLANK(INDIRECT("R6.Voz!D"&amp;SUM(18,38*3,9))),"",INDIRECT("R6.Voz!D"&amp;SUM(18,38*3,9))))</f>
        <v/>
      </c>
      <c r="L28" s="75" t="str" cm="1">
        <f t="array" aca="1" ref="L28" ca="1">IF($B28="","",IF(ISBLANK(INDIRECT("R6.Voz!D"&amp;SUM(18,38*4,9))),"",INDIRECT("R6.Voz!D"&amp;SUM(18,38*4,9))))</f>
        <v/>
      </c>
      <c r="M28" s="75" t="str" cm="1">
        <f t="array" aca="1" ref="M28" ca="1">IF($B28="","",IF(ISBLANK(INDIRECT("R6.Voz!D"&amp;SUM(18,38*5,9))),"",INDIRECT("R6.Voz!D"&amp;SUM(18,38*5,9))))</f>
        <v/>
      </c>
      <c r="N28" s="75" t="str" cm="1">
        <f t="array" aca="1" ref="N28" ca="1">IF($B28="","",IF(ISBLANK(INDIRECT("R6.Voz!D"&amp;SUM(18,38*6,9))),"",INDIRECT("R6.Voz!D"&amp;SUM(18,38*6,9))))</f>
        <v/>
      </c>
      <c r="O28" s="75" t="str" cm="1">
        <f t="array" aca="1" ref="O28" ca="1">IF($B28="","",IF(ISBLANK(INDIRECT("R6.Voz!D"&amp;SUM(18,38*7,9))),"",INDIRECT("R6.Voz!D"&amp;SUM(18,38*7,9))))</f>
        <v/>
      </c>
      <c r="P28" s="75" t="str" cm="1">
        <f t="array" aca="1" ref="P28" ca="1">IF($B28="","",IF(ISBLANK(INDIRECT("R6.Voz!D"&amp;SUM(18,38*8,9))),"",INDIRECT("R6.Voz!D"&amp;SUM(18,38*8,9))))</f>
        <v/>
      </c>
      <c r="Q28" s="75" t="str" cm="1">
        <f t="array" aca="1" ref="Q28" ca="1">IF($B28="","",IF(ISBLANK(INDIRECT("R6.Voz!D"&amp;SUM(18,38*9,9))),"",INDIRECT("R6.Voz!D"&amp;SUM(18,38*9,9))))</f>
        <v/>
      </c>
      <c r="R28" s="75" t="str" cm="1">
        <f t="array" aca="1" ref="R28" ca="1">IF($B28="","",IF(ISBLANK(INDIRECT("R6.Voz!D"&amp;SUM(18,38*10,9))),"",INDIRECT("R6.Voz!D"&amp;SUM(18,38*10,9))))</f>
        <v/>
      </c>
      <c r="S28" s="75" t="str" cm="1">
        <f t="array" aca="1" ref="S28" ca="1">IF($B28="","",IF(ISBLANK(INDIRECT("R6.Voz!D"&amp;SUM(18,38*11,9))),"",INDIRECT("R6.Voz!D"&amp;SUM(18,38*11,9))))</f>
        <v/>
      </c>
      <c r="T28" s="75" t="str" cm="1">
        <f t="array" aca="1" ref="T28" ca="1">IF($B28="","",IF(ISBLANK(INDIRECT("R6.Voz!D"&amp;SUM(18,38*12,9))),"",INDIRECT("R6.Voz!D"&amp;SUM(18,38*12,9))))</f>
        <v/>
      </c>
      <c r="U28" s="75" t="str" cm="1">
        <f t="array" aca="1" ref="U28" ca="1">IF($B28="","",IF(ISBLANK(INDIRECT("R6.Voz!D"&amp;SUM(18,38*13,9))),"",INDIRECT("R6.Voz!D"&amp;SUM(18,38*13,9))))</f>
        <v/>
      </c>
      <c r="V28" s="75" t="str" cm="1">
        <f t="array" aca="1" ref="V28" ca="1">IF($B28="","",IF(ISBLANK(INDIRECT("R6.Voz!D"&amp;SUM(18,38*14,9))),"",INDIRECT("R6.Voz!D"&amp;SUM(18,38*14,9))))</f>
        <v/>
      </c>
      <c r="W28" s="75" t="str" cm="1">
        <f t="array" aca="1" ref="W28" ca="1">IF($B28="","",IF(ISBLANK(INDIRECT("R6.Voz!D"&amp;SUM(18,38*15,9))),"",INDIRECT("R6.Voz!D"&amp;SUM(18,38*15,9))))</f>
        <v/>
      </c>
      <c r="X28" s="75" t="str" cm="1">
        <f t="array" aca="1" ref="X28" ca="1">IF($B28="","",IF(ISBLANK(INDIRECT("R6.Voz!D"&amp;SUM(18,38*16,9))),"",INDIRECT("R6.Voz!D"&amp;SUM(18,38*16,9))))</f>
        <v/>
      </c>
      <c r="Y28" s="75" t="str" cm="1">
        <f t="array" aca="1" ref="Y28" ca="1">IF($B28="","",IF(ISBLANK(INDIRECT("R6.Voz!D"&amp;SUM(18,38*17,9))),"",INDIRECT("R6.Voz!D"&amp;SUM(18,38*17,9))))</f>
        <v/>
      </c>
      <c r="Z28" s="75" t="str" cm="1">
        <f t="array" aca="1" ref="Z28" ca="1">IF($B28="","",IF(ISBLANK(INDIRECT("R6.Voz!D"&amp;SUM(18,38*18,9))),"",INDIRECT("R6.Voz!D"&amp;SUM(18,38*18,9))))</f>
        <v/>
      </c>
      <c r="AA28" s="75" t="str" cm="1">
        <f t="array" aca="1" ref="AA28" ca="1">IF($B28="","",IF(ISBLANK(INDIRECT("R7.Video!D"&amp;SUM(18,38*0,9))),"",INDIRECT("R7.Video!D"&amp;SUM(18,38*0,9))))</f>
        <v/>
      </c>
      <c r="AB28" s="75" t="str" cm="1">
        <f t="array" aca="1" ref="AB28" ca="1">IF($B28="","",IF(ISBLANK(INDIRECT("R7.Video!D"&amp;SUM(18,38*1,9))),"",INDIRECT("R7.Video!D"&amp;SUM(18,38*1,9))))</f>
        <v/>
      </c>
      <c r="AC28" s="75" t="str" cm="1">
        <f t="array" aca="1" ref="AC28" ca="1">IF($B28="","",IF(ISBLANK(INDIRECT("R7.Video!D"&amp;SUM(18,38*2,9))),"",INDIRECT("R7.Video!D"&amp;SUM(18,38*2,9))))</f>
        <v/>
      </c>
      <c r="AD28" s="75" t="str" cm="1">
        <f t="array" aca="1" ref="AD28" ca="1">IF($B28="","",IF(ISBLANK(INDIRECT("R7.Video!D"&amp;SUM(18,38*3,9))),"",INDIRECT("R7.Video!D"&amp;SUM(18,38*3,9))))</f>
        <v/>
      </c>
      <c r="AE28" s="75" t="str" cm="1">
        <f t="array" aca="1" ref="AE28" ca="1">IF($B28="","",IF(ISBLANK(INDIRECT("R7.Video!D"&amp;SUM(18,38*4,9))),"",INDIRECT("R7.Video!D"&amp;SUM(18,38*4,9))))</f>
        <v/>
      </c>
      <c r="AF28" s="75" t="str" cm="1">
        <f t="array" aca="1" ref="AF28" ca="1">IF($B28="","",IF(ISBLANK(INDIRECT("R7.Video!D"&amp;SUM(18,38*5,9))),"",INDIRECT("R7.Video!D"&amp;SUM(18,38*5,9))))</f>
        <v/>
      </c>
      <c r="AG28" s="75" t="str" cm="1">
        <f t="array" aca="1" ref="AG28" ca="1">IF($B28="","",IF(ISBLANK(INDIRECT("R7.Video!D"&amp;SUM(18,38*6,9))),"",INDIRECT("R7.Video!D"&amp;SUM(18,38*6,9))))</f>
        <v/>
      </c>
      <c r="AH28" s="75" t="str" cm="1">
        <f t="array" aca="1" ref="AH28" ca="1">IF($B28="","",IF(ISBLANK(INDIRECT("R7.Video!D"&amp;SUM(18,38*7,9))),"",INDIRECT("R7.Video!D"&amp;SUM(18,38*7,9))))</f>
        <v/>
      </c>
      <c r="AI28" s="75" t="str" cm="1">
        <f t="array" aca="1" ref="AI28" ca="1">IF($B28="","",IF(ISBLANK(INDIRECT("R7.Video!D"&amp;SUM(18,38*8,9))),"",INDIRECT("R7.Video!D"&amp;SUM(18,38*8,9))))</f>
        <v/>
      </c>
      <c r="AJ28" s="75" t="str" cm="1">
        <f t="array" aca="1" ref="AJ28" ca="1">IF($B28="","",IF(ISBLANK(INDIRECT("R9.Web!D"&amp;SUM(18,38*0,9))),"",INDIRECT("R9.Web!D"&amp;SUM(18,38*0,9))))</f>
        <v/>
      </c>
      <c r="AK28" s="75" t="str" cm="1">
        <f t="array" aca="1" ref="AK28" ca="1">IF($B28="","",IF(ISBLANK(INDIRECT("R9.Web!D"&amp;SUM(18,38*1,9))),"",INDIRECT("R9.Web!D"&amp;SUM(18,38*1,9))))</f>
        <v/>
      </c>
      <c r="AL28" s="75" t="str" cm="1">
        <f t="array" aca="1" ref="AL28" ca="1">IF($B28="","",IF(ISBLANK(INDIRECT("R9.Web!D"&amp;SUM(18,38*2,9))),"",INDIRECT("R9.Web!D"&amp;SUM(18,38*2,9))))</f>
        <v/>
      </c>
      <c r="AM28" s="75" t="str" cm="1">
        <f t="array" aca="1" ref="AM28" ca="1">IF($B28="","",IF(ISBLANK(INDIRECT("R9.Web!D"&amp;SUM(18,38*3,9))),"",INDIRECT("R9.Web!D"&amp;SUM(18,38*3,9))))</f>
        <v/>
      </c>
      <c r="AN28" s="75" t="str" cm="1">
        <f t="array" aca="1" ref="AN28" ca="1">IF($B28="","",IF(ISBLANK(INDIRECT("R9.Web!D"&amp;SUM(18,38*4,9))),"",INDIRECT("R9.Web!D"&amp;SUM(18,38*4,9))))</f>
        <v/>
      </c>
      <c r="AO28" s="75" t="str" cm="1">
        <f t="array" aca="1" ref="AO28" ca="1">IF($B28="","",IF(ISBLANK(INDIRECT("R9.Web!D"&amp;SUM(18,38*5,9))),"",INDIRECT("R9.Web!D"&amp;SUM(18,38*5,9))))</f>
        <v/>
      </c>
      <c r="AP28" s="75" t="str" cm="1">
        <f t="array" aca="1" ref="AP28" ca="1">IF($B28="","",IF(ISBLANK(INDIRECT("R9.Web!D"&amp;SUM(18,38*6,9))),"",INDIRECT("R9.Web!D"&amp;SUM(18,38*6,9))))</f>
        <v/>
      </c>
      <c r="AQ28" s="75" t="str" cm="1">
        <f t="array" aca="1" ref="AQ28" ca="1">IF($B28="","",IF(ISBLANK(INDIRECT("R9.Web!D"&amp;SUM(18,38*7,9))),"",INDIRECT("R9.Web!D"&amp;SUM(18,38*7,9))))</f>
        <v/>
      </c>
      <c r="AR28" s="75" t="str" cm="1">
        <f t="array" aca="1" ref="AR28" ca="1">IF($B28="","",IF(ISBLANK(INDIRECT("R9.Web!D"&amp;SUM(18,38*8,9))),"",INDIRECT("R9.Web!D"&amp;SUM(18,38*8,9))))</f>
        <v/>
      </c>
      <c r="AS28" s="75" t="str" cm="1">
        <f t="array" aca="1" ref="AS28" ca="1">IF($B28="","",IF(ISBLANK(INDIRECT("R9.Web!D"&amp;SUM(18,38*9,9))),"",INDIRECT("R9.Web!D"&amp;SUM(18,38*9,9))))</f>
        <v/>
      </c>
      <c r="AT28" s="75" t="str" cm="1">
        <f t="array" aca="1" ref="AT28" ca="1">IF($B28="","",IF(ISBLANK(INDIRECT("R9.Web!D"&amp;SUM(18,38*10,9))),"",INDIRECT("R9.Web!D"&amp;SUM(18,38*10,9))))</f>
        <v/>
      </c>
      <c r="AU28" s="75" t="str" cm="1">
        <f t="array" aca="1" ref="AU28" ca="1">IF($B28="","",IF(ISBLANK(INDIRECT("R9.Web!D"&amp;SUM(18,38*11,9))),"",INDIRECT("R9.Web!D"&amp;SUM(18,38*11,9))))</f>
        <v/>
      </c>
      <c r="AV28" s="75" t="str" cm="1">
        <f t="array" aca="1" ref="AV28" ca="1">IF($B28="","",IF(ISBLANK(INDIRECT("R9.Web!D"&amp;SUM(18,38*12,9))),"",INDIRECT("R9.Web!D"&amp;SUM(18,38*12,9))))</f>
        <v/>
      </c>
      <c r="AW28" s="75" t="str" cm="1">
        <f t="array" aca="1" ref="AW28" ca="1">IF($B28="","",IF(ISBLANK(INDIRECT("R9.Web!D"&amp;SUM(18,38*13,9))),"",INDIRECT("R9.Web!D"&amp;SUM(18,38*13,9))))</f>
        <v/>
      </c>
      <c r="AX28" s="75" t="str" cm="1">
        <f t="array" aca="1" ref="AX28" ca="1">IF($B28="","",IF(ISBLANK(INDIRECT("R9.Web!D"&amp;SUM(18,38*14,9))),"",INDIRECT("R9.Web!D"&amp;SUM(18,38*14,9))))</f>
        <v/>
      </c>
      <c r="AY28" s="75" t="str" cm="1">
        <f t="array" aca="1" ref="AY28" ca="1">IF($B28="","",IF(ISBLANK(INDIRECT("R9.Web!D"&amp;SUM(18,38*15,9))),"",INDIRECT("R9.Web!D"&amp;SUM(18,38*15,9))))</f>
        <v/>
      </c>
      <c r="AZ28" s="75" t="str" cm="1">
        <f t="array" aca="1" ref="AZ28" ca="1">IF($B28="","",IF(ISBLANK(INDIRECT("R9.Web!D"&amp;SUM(18,38*16,9))),"",INDIRECT("R9.Web!D"&amp;SUM(18,38*16,9))))</f>
        <v/>
      </c>
      <c r="BA28" s="75" t="str" cm="1">
        <f t="array" aca="1" ref="BA28" ca="1">IF($B28="","",IF(ISBLANK(INDIRECT("R9.Web!D"&amp;SUM(18,38*17,9))),"",INDIRECT("R9.Web!D"&amp;SUM(18,38*17,9))))</f>
        <v/>
      </c>
      <c r="BB28" s="75" t="str" cm="1">
        <f t="array" aca="1" ref="BB28" ca="1">IF($B28="","",IF(ISBLANK(INDIRECT("R9.Web!D"&amp;SUM(18,38*18,9))),"",INDIRECT("R9.Web!D"&amp;SUM(18,38*18,9))))</f>
        <v/>
      </c>
      <c r="BC28" s="75" t="str" cm="1">
        <f t="array" aca="1" ref="BC28" ca="1">IF($B28="","",IF(ISBLANK(INDIRECT("R9.Web!D"&amp;SUM(18,38*19,9))),"",INDIRECT("R9.Web!D"&amp;SUM(18,38*19,9))))</f>
        <v/>
      </c>
      <c r="BD28" s="75" t="str" cm="1">
        <f t="array" aca="1" ref="BD28" ca="1">IF($B28="","",IF(ISBLANK(INDIRECT("R9.Web!D"&amp;SUM(18,38*20,9))),"",INDIRECT("R9.Web!D"&amp;SUM(18,38*20,9))))</f>
        <v/>
      </c>
      <c r="BE28" s="75" t="str" cm="1">
        <f t="array" aca="1" ref="BE28" ca="1">IF($B28="","",IF(ISBLANK(INDIRECT("R9.Web!D"&amp;SUM(18,38*21,9))),"",INDIRECT("R9.Web!D"&amp;SUM(18,38*21,9))))</f>
        <v/>
      </c>
      <c r="BF28" s="75" t="str" cm="1">
        <f t="array" aca="1" ref="BF28" ca="1">IF($B28="","",IF(ISBLANK(INDIRECT("R9.Web!D"&amp;SUM(18,38*22,9))),"",INDIRECT("R9.Web!D"&amp;SUM(18,38*22,9))))</f>
        <v/>
      </c>
      <c r="BG28" s="75" t="str" cm="1">
        <f t="array" aca="1" ref="BG28" ca="1">IF($B28="","",IF(ISBLANK(INDIRECT("R9.Web!D"&amp;SUM(18,38*23,9))),"",INDIRECT("R9.Web!D"&amp;SUM(18,38*23,9))))</f>
        <v/>
      </c>
      <c r="BH28" s="75" t="str" cm="1">
        <f t="array" aca="1" ref="BH28" ca="1">IF($B28="","",IF(ISBLANK(INDIRECT("R9.Web!D"&amp;SUM(18,38*24,9))),"",INDIRECT("R9.Web!D"&amp;SUM(18,38*24,9))))</f>
        <v/>
      </c>
      <c r="BI28" s="75" t="str" cm="1">
        <f t="array" aca="1" ref="BI28" ca="1">IF($B28="","",IF(ISBLANK(INDIRECT("R9.Web!D"&amp;SUM(18,38*25,9))),"",INDIRECT("R9.Web!D"&amp;SUM(18,38*25,9))))</f>
        <v/>
      </c>
      <c r="BJ28" s="75" t="str" cm="1">
        <f t="array" aca="1" ref="BJ28" ca="1">IF($B28="","",IF(ISBLANK(INDIRECT("R9.Web!D"&amp;SUM(18,38*26,9))),"",INDIRECT("R9.Web!D"&amp;SUM(18,38*26,9))))</f>
        <v/>
      </c>
      <c r="BK28" s="75" t="str" cm="1">
        <f t="array" aca="1" ref="BK28" ca="1">IF($B28="","",IF(ISBLANK(INDIRECT("R9.Web!D"&amp;SUM(18,38*27,9))),"",INDIRECT("R9.Web!D"&amp;SUM(18,38*27,9))))</f>
        <v/>
      </c>
      <c r="BL28" s="75" t="str" cm="1">
        <f t="array" aca="1" ref="BL28" ca="1">IF($B28="","",IF(ISBLANK(INDIRECT("R9.Web!D"&amp;SUM(18,38*28,9))),"",INDIRECT("R9.Web!D"&amp;SUM(18,38*28,9))))</f>
        <v/>
      </c>
      <c r="BM28" s="75" t="str" cm="1">
        <f t="array" aca="1" ref="BM28" ca="1">IF($B28="","",IF(ISBLANK(INDIRECT("R9.Web!D"&amp;SUM(18,38*29,9))),"",INDIRECT("R9.Web!D"&amp;SUM(18,38*29,9))))</f>
        <v/>
      </c>
      <c r="BN28" s="75" t="str" cm="1">
        <f t="array" aca="1" ref="BN28" ca="1">IF($B28="","",IF(ISBLANK(INDIRECT("R9.Web!D"&amp;SUM(18,38*30,9))),"",INDIRECT("R9.Web!D"&amp;SUM(18,38*30,9))))</f>
        <v/>
      </c>
      <c r="BO28" s="75" t="str" cm="1">
        <f t="array" aca="1" ref="BO28" ca="1">IF($B28="","",IF(ISBLANK(INDIRECT("R9.Web!D"&amp;SUM(18,38*31,9))),"",INDIRECT("R9.Web!D"&amp;SUM(18,38*31,9))))</f>
        <v/>
      </c>
      <c r="BP28" s="75" t="str" cm="1">
        <f t="array" aca="1" ref="BP28" ca="1">IF($B28="","",IF(ISBLANK(INDIRECT("R9.Web!D"&amp;SUM(18,38*32,9))),"",INDIRECT("R9.Web!D"&amp;SUM(18,38*32,9))))</f>
        <v/>
      </c>
      <c r="BQ28" s="75" t="str" cm="1">
        <f t="array" aca="1" ref="BQ28" ca="1">IF($B28="","",IF(ISBLANK(INDIRECT("R9.Web!D"&amp;SUM(18,38*33,9))),"",INDIRECT("R9.Web!D"&amp;SUM(18,38*33,9))))</f>
        <v/>
      </c>
      <c r="BR28" s="75" t="str" cm="1">
        <f t="array" aca="1" ref="BR28" ca="1">IF($B28="","",IF(ISBLANK(INDIRECT("R9.Web!D"&amp;SUM(18,38*34,9))),"",INDIRECT("R9.Web!D"&amp;SUM(18,38*34,9))))</f>
        <v/>
      </c>
      <c r="BS28" s="75" t="str" cm="1">
        <f t="array" aca="1" ref="BS28" ca="1">IF($B28="","",IF(ISBLANK(INDIRECT("R9.Web!D"&amp;SUM(18,38*35,9))),"",INDIRECT("R9.Web!D"&amp;SUM(18,38*35,9))))</f>
        <v/>
      </c>
      <c r="BT28" s="75" t="str" cm="1">
        <f t="array" aca="1" ref="BT28" ca="1">IF($B28="","",IF(ISBLANK(INDIRECT("R9.Web!D"&amp;SUM(18,38*36,9))),"",INDIRECT("R9.Web!D"&amp;SUM(18,38*36,9))))</f>
        <v/>
      </c>
      <c r="BU28" s="75" t="str" cm="1">
        <f t="array" aca="1" ref="BU28" ca="1">IF($B28="","",IF(ISBLANK(INDIRECT("R9.Web!D"&amp;SUM(18,38*37,9))),"",INDIRECT("R9.Web!D"&amp;SUM(18,38*37,9))))</f>
        <v/>
      </c>
      <c r="BV28" s="75" t="str" cm="1">
        <f t="array" aca="1" ref="BV28" ca="1">IF($B28="","",IF(ISBLANK(INDIRECT("R9.Web!D"&amp;SUM(18,38*38,9))),"",INDIRECT("R9.Web!D"&amp;SUM(18,38*38,9))))</f>
        <v/>
      </c>
      <c r="BW28" s="75" t="str" cm="1">
        <f t="array" aca="1" ref="BW28" ca="1">IF($B28="","",IF(ISBLANK(INDIRECT("R9.Web!D"&amp;SUM(18,38*39,9))),"",INDIRECT("R9.Web!D"&amp;SUM(18,38*39,9))))</f>
        <v/>
      </c>
      <c r="BX28" s="75" t="str" cm="1">
        <f t="array" aca="1" ref="BX28" ca="1">IF($B28="","",IF(ISBLANK(INDIRECT("R9.Web!D"&amp;SUM(18,38*40,9))),"",INDIRECT("R9.Web!D"&amp;SUM(18,38*40,9))))</f>
        <v/>
      </c>
      <c r="BY28" s="75" t="str" cm="1">
        <f t="array" aca="1" ref="BY28" ca="1">IF($B28="","",IF(ISBLANK(INDIRECT("R9.Web!D"&amp;SUM(18,38*41,9))),"",INDIRECT("R9.Web!D"&amp;SUM(18,38*41,9))))</f>
        <v/>
      </c>
      <c r="BZ28" s="75" t="str" cm="1">
        <f t="array" aca="1" ref="BZ28" ca="1">IF($B28="","",IF(ISBLANK(INDIRECT("R9.Web!D"&amp;SUM(18,38*42,9))),"",INDIRECT("R9.Web!D"&amp;SUM(18,38*42,9))))</f>
        <v/>
      </c>
      <c r="CA28" s="75" t="str" cm="1">
        <f t="array" aca="1" ref="CA28" ca="1">IF($B28="","",IF(ISBLANK(INDIRECT("R9.Web!D"&amp;SUM(18,38*43,9))),"",INDIRECT("R9.Web!D"&amp;SUM(18,38*43,9))))</f>
        <v/>
      </c>
      <c r="CB28" s="75" t="str" cm="1">
        <f t="array" aca="1" ref="CB28" ca="1">IF($B28="","",IF(ISBLANK(INDIRECT("R9.Web!D"&amp;SUM(18,38*44,9))),"",INDIRECT("R9.Web!D"&amp;SUM(18,38*44,9))))</f>
        <v/>
      </c>
      <c r="CC28" s="75" t="str" cm="1">
        <f t="array" aca="1" ref="CC28" ca="1">IF($B28="","",IF(ISBLANK(INDIRECT("R9.Web!D"&amp;SUM(18,38*45,9))),"",INDIRECT("R9.Web!D"&amp;SUM(18,38*45,9))))</f>
        <v/>
      </c>
      <c r="CD28" s="75" t="str" cm="1">
        <f t="array" aca="1" ref="CD28" ca="1">IF($B28="","",IF(ISBLANK(INDIRECT("R9.Web!D"&amp;SUM(18,38*46,9))),"",INDIRECT("R9.Web!D"&amp;SUM(18,38*46,9))))</f>
        <v/>
      </c>
      <c r="CE28" s="75" t="str" cm="1">
        <f t="array" aca="1" ref="CE28" ca="1">IF($B28="","",IF(ISBLANK(INDIRECT("R9.Web!D"&amp;SUM(18,38*47,9))),"",INDIRECT("R9.Web!D"&amp;SUM(18,38*47,9))))</f>
        <v/>
      </c>
      <c r="CF28" s="75" t="str" cm="1">
        <f t="array" aca="1" ref="CF28" ca="1">IF($B28="","",IF(ISBLANK(INDIRECT("R9.Web!D"&amp;SUM(18,38*48,9))),"",INDIRECT("R9.Web!D"&amp;SUM(18,38*48,9))))</f>
        <v/>
      </c>
      <c r="CG28" s="75" t="str" cm="1">
        <f t="array" aca="1" ref="CG28" ca="1">IF($B28="","",IF(ISBLANK(INDIRECT("R9.Web!D"&amp;SUM(18,38*49,9))),"",INDIRECT("R9.Web!D"&amp;SUM(18,38*49,9))))</f>
        <v/>
      </c>
      <c r="CH28" s="75" t="str" cm="1">
        <f t="array" aca="1" ref="CH28" ca="1">IF($B28="","",IF(ISBLANK(INDIRECT("R11.Software!D"&amp;SUM(18,38*0,9))),"",INDIRECT("R11.Software!D"&amp;SUM(18,38*0,9))))</f>
        <v/>
      </c>
      <c r="CI28" s="75" t="str" cm="1">
        <f t="array" aca="1" ref="CI28" ca="1">IF($B28="","",IF(ISBLANK(INDIRECT("R11.Software!D"&amp;SUM(18,38*1,9))),"",INDIRECT("R11.Software!D"&amp;SUM(18,38*1,9))))</f>
        <v/>
      </c>
      <c r="CJ28" s="75" t="str" cm="1">
        <f t="array" aca="1" ref="CJ28" ca="1">IF($B28="","",IF(ISBLANK(INDIRECT("R11.Software!D"&amp;SUM(18,38*2,9))),"",INDIRECT("R11.Software!D"&amp;SUM(18,38*2,9))))</f>
        <v/>
      </c>
      <c r="CK28" s="75" t="str" cm="1">
        <f t="array" aca="1" ref="CK28" ca="1">IF($B28="","",IF(ISBLANK(INDIRECT("R11.Software!D"&amp;SUM(18,38*3,9))),"",INDIRECT("R11.Software!D"&amp;SUM(18,38*3,9))))</f>
        <v/>
      </c>
      <c r="CL28" s="75" t="str" cm="1">
        <f t="array" aca="1" ref="CL28" ca="1">IF($B28="","",IF(ISBLANK(INDIRECT("R11.Software!D"&amp;SUM(18,38*4,9))),"",INDIRECT("R11.Software!D"&amp;SUM(18,38*4,9))))</f>
        <v/>
      </c>
      <c r="CM28" s="75" t="str" cm="1">
        <f t="array" aca="1" ref="CM28" ca="1">IF($B28="","",IF(ISBLANK(INDIRECT("R11.Software!D"&amp;SUM(18,38*5,9))),"",INDIRECT("R11.Software!D"&amp;SUM(18,38*5,9))))</f>
        <v/>
      </c>
      <c r="CN28" s="75" t="str" cm="1">
        <f t="array" aca="1" ref="CN28" ca="1">IF($B28="","",IF(ISBLANK(INDIRECT("R12.ServiciosApoyo!D"&amp;SUM(18,38*0,9))),"",INDIRECT("R12.ServiciosApoyo!D"&amp;SUM(18,38*0,9))))</f>
        <v/>
      </c>
      <c r="CO28" s="75" t="str" cm="1">
        <f t="array" aca="1" ref="CO28" ca="1">IF($B28="","",IF(ISBLANK(INDIRECT("R12.ServiciosApoyo!D"&amp;SUM(18,38*1,9))),"",INDIRECT("R12.ServiciosApoyo!D"&amp;SUM(18,38*1,9))))</f>
        <v/>
      </c>
      <c r="CP28" s="75" t="str" cm="1">
        <f t="array" aca="1" ref="CP28" ca="1">IF($B28="","",IF(ISBLANK(INDIRECT("R12.ServiciosApoyo!D"&amp;SUM(18,38*2,9))),"",INDIRECT("R12.ServiciosApoyo!D"&amp;SUM(18,38*2,9))))</f>
        <v/>
      </c>
      <c r="CQ28" s="75" t="str" cm="1">
        <f t="array" aca="1" ref="CQ28" ca="1">IF($B28="","",IF(ISBLANK(INDIRECT("R12.ServiciosApoyo!D"&amp;SUM(18,38*3,9))),"",INDIRECT("R12.ServiciosApoyo!D"&amp;SUM(18,38*3,9))))</f>
        <v/>
      </c>
      <c r="CR28" s="75" t="str" cm="1">
        <f t="array" aca="1" ref="CR28" ca="1">IF($B28="","",IF(ISBLANK(INDIRECT("R12.ServiciosApoyo!D"&amp;SUM(18,38*4,9))),"",INDIRECT("R12.ServiciosApoyo!D"&amp;SUM(18,38*4,9))))</f>
        <v/>
      </c>
      <c r="CU28" s="76"/>
    </row>
    <row r="29" spans="2:100" ht="20.5">
      <c r="B29" s="39" t="str" cm="1">
        <f t="array" ref="B29">IFERROR(INDEX('03.Muestra'!$B$8:$B$42,SMALL(IF("Página Web"='03.Muestra'!$D$8:$D$42,ROW('03.Muestra'!$B$8:$B$42)-MIN(ROW('03.Muestra'!$D$8:$D$42))+1,""),ROW()-19)),"")</f>
        <v/>
      </c>
      <c r="C29" s="73" t="str" cm="1">
        <f t="array" ref="C29">IFERROR(INDEX('03.Muestra'!$C$8:$C$42,SMALL(IF("Página Web"='03.Muestra'!$D$8:$D$42,ROW('03.Muestra'!$C$8:$C$42)-MIN(ROW('03.Muestra'!$D$8:$D$42))+1,""),ROW()-19)),"")</f>
        <v/>
      </c>
      <c r="D29" s="74" t="str" cm="1">
        <f t="array" ref="D29">IFERROR(INDEX('03.Muestra'!$F$8:$F$42,SMALL(IF("Página Web"='03.Muestra'!$D$8:$D$42,ROW('03.Muestra'!$F$8:$F$42)-MIN(ROW('03.Muestra'!$D$8:$D$42))+1,""),ROW()-19)),"")</f>
        <v/>
      </c>
      <c r="E29" s="75" t="str" cm="1">
        <f t="array" aca="1" ref="E29" ca="1">IF($B29="","",IF(ISBLANK(INDIRECT("R5.Genéricos!D"&amp;SUM(18,38*0,10))),"",INDIRECT("R5.Genéricos!D"&amp;SUM(18,38*0,10))))</f>
        <v/>
      </c>
      <c r="F29" s="75" t="str" cm="1">
        <f t="array" aca="1" ref="F29" ca="1">IF($B29="","",IF(ISBLANK(INDIRECT("R5.Genéricos!D"&amp;SUM(18,38*1,10))),"",INDIRECT("R5.Genéricos!D"&amp;SUM(18,38*1,10))))</f>
        <v/>
      </c>
      <c r="G29" s="75" t="str" cm="1">
        <f t="array" aca="1" ref="G29" ca="1">IF($B29="","",IF(ISBLANK(INDIRECT("R5.Genéricos!D"&amp;SUM(18,38*2,10))),"",INDIRECT("R5.Genéricos!D"&amp;SUM(18,38*2,10))))</f>
        <v/>
      </c>
      <c r="H29" s="75" t="str" cm="1">
        <f t="array" aca="1" ref="H29" ca="1">IF($B29="","",IF(ISBLANK(INDIRECT("R6.Voz!D"&amp;SUM(18,38*0,10))),"",INDIRECT("R6.Voz!D"&amp;SUM(18,38*0,10))))</f>
        <v/>
      </c>
      <c r="I29" s="75" t="str" cm="1">
        <f t="array" aca="1" ref="I29" ca="1">IF($B29="","",IF(ISBLANK(INDIRECT("R6.Voz!D"&amp;SUM(18,38*1,10))),"",INDIRECT("R6.Voz!D"&amp;SUM(18,38*1,10))))</f>
        <v/>
      </c>
      <c r="J29" s="75" t="str" cm="1">
        <f t="array" aca="1" ref="J29" ca="1">IF($B29="","",IF(ISBLANK(INDIRECT("R6.Voz!D"&amp;SUM(18,38*2,10))),"",INDIRECT("R6.Voz!D"&amp;SUM(18,38*2,10))))</f>
        <v/>
      </c>
      <c r="K29" s="75" t="str" cm="1">
        <f t="array" aca="1" ref="K29" ca="1">IF($B29="","",IF(ISBLANK(INDIRECT("R6.Voz!D"&amp;SUM(18,38*3,10))),"",INDIRECT("R6.Voz!D"&amp;SUM(18,38*3,10))))</f>
        <v/>
      </c>
      <c r="L29" s="75" t="str" cm="1">
        <f t="array" aca="1" ref="L29" ca="1">IF($B29="","",IF(ISBLANK(INDIRECT("R6.Voz!D"&amp;SUM(18,38*4,10))),"",INDIRECT("R6.Voz!D"&amp;SUM(18,38*4,10))))</f>
        <v/>
      </c>
      <c r="M29" s="75" t="str" cm="1">
        <f t="array" aca="1" ref="M29" ca="1">IF($B29="","",IF(ISBLANK(INDIRECT("R6.Voz!D"&amp;SUM(18,38*5,10))),"",INDIRECT("R6.Voz!D"&amp;SUM(18,38*5,10))))</f>
        <v/>
      </c>
      <c r="N29" s="75" t="str" cm="1">
        <f t="array" aca="1" ref="N29" ca="1">IF($B29="","",IF(ISBLANK(INDIRECT("R6.Voz!D"&amp;SUM(18,38*6,10))),"",INDIRECT("R6.Voz!D"&amp;SUM(18,38*6,10))))</f>
        <v/>
      </c>
      <c r="O29" s="75" t="str" cm="1">
        <f t="array" aca="1" ref="O29" ca="1">IF($B29="","",IF(ISBLANK(INDIRECT("R6.Voz!D"&amp;SUM(18,38*7,10))),"",INDIRECT("R6.Voz!D"&amp;SUM(18,38*7,10))))</f>
        <v/>
      </c>
      <c r="P29" s="75" t="str" cm="1">
        <f t="array" aca="1" ref="P29" ca="1">IF($B29="","",IF(ISBLANK(INDIRECT("R6.Voz!D"&amp;SUM(18,38*8,10))),"",INDIRECT("R6.Voz!D"&amp;SUM(18,38*8,10))))</f>
        <v/>
      </c>
      <c r="Q29" s="75" t="str" cm="1">
        <f t="array" aca="1" ref="Q29" ca="1">IF($B29="","",IF(ISBLANK(INDIRECT("R6.Voz!D"&amp;SUM(18,38*9,10))),"",INDIRECT("R6.Voz!D"&amp;SUM(18,38*9,10))))</f>
        <v/>
      </c>
      <c r="R29" s="75" t="str" cm="1">
        <f t="array" aca="1" ref="R29" ca="1">IF($B29="","",IF(ISBLANK(INDIRECT("R6.Voz!D"&amp;SUM(18,38*10,10))),"",INDIRECT("R6.Voz!D"&amp;SUM(18,38*10,10))))</f>
        <v/>
      </c>
      <c r="S29" s="75" t="str" cm="1">
        <f t="array" aca="1" ref="S29" ca="1">IF($B29="","",IF(ISBLANK(INDIRECT("R6.Voz!D"&amp;SUM(18,38*11,10))),"",INDIRECT("R6.Voz!D"&amp;SUM(18,38*11,10))))</f>
        <v/>
      </c>
      <c r="T29" s="75" t="str" cm="1">
        <f t="array" aca="1" ref="T29" ca="1">IF($B29="","",IF(ISBLANK(INDIRECT("R6.Voz!D"&amp;SUM(18,38*12,10))),"",INDIRECT("R6.Voz!D"&amp;SUM(18,38*12,10))))</f>
        <v/>
      </c>
      <c r="U29" s="75" t="str" cm="1">
        <f t="array" aca="1" ref="U29" ca="1">IF($B29="","",IF(ISBLANK(INDIRECT("R6.Voz!D"&amp;SUM(18,38*13,10))),"",INDIRECT("R6.Voz!D"&amp;SUM(18,38*13,10))))</f>
        <v/>
      </c>
      <c r="V29" s="75" t="str" cm="1">
        <f t="array" aca="1" ref="V29" ca="1">IF($B29="","",IF(ISBLANK(INDIRECT("R6.Voz!D"&amp;SUM(18,38*14,10))),"",INDIRECT("R6.Voz!D"&amp;SUM(18,38*14,10))))</f>
        <v/>
      </c>
      <c r="W29" s="75" t="str" cm="1">
        <f t="array" aca="1" ref="W29" ca="1">IF($B29="","",IF(ISBLANK(INDIRECT("R6.Voz!D"&amp;SUM(18,38*15,10))),"",INDIRECT("R6.Voz!D"&amp;SUM(18,38*15,10))))</f>
        <v/>
      </c>
      <c r="X29" s="75" t="str" cm="1">
        <f t="array" aca="1" ref="X29" ca="1">IF($B29="","",IF(ISBLANK(INDIRECT("R6.Voz!D"&amp;SUM(18,38*16,10))),"",INDIRECT("R6.Voz!D"&amp;SUM(18,38*16,10))))</f>
        <v/>
      </c>
      <c r="Y29" s="75" t="str" cm="1">
        <f t="array" aca="1" ref="Y29" ca="1">IF($B29="","",IF(ISBLANK(INDIRECT("R6.Voz!D"&amp;SUM(18,38*17,10))),"",INDIRECT("R6.Voz!D"&amp;SUM(18,38*17,10))))</f>
        <v/>
      </c>
      <c r="Z29" s="75" t="str" cm="1">
        <f t="array" aca="1" ref="Z29" ca="1">IF($B29="","",IF(ISBLANK(INDIRECT("R6.Voz!D"&amp;SUM(18,38*18,10))),"",INDIRECT("R6.Voz!D"&amp;SUM(18,38*18,10))))</f>
        <v/>
      </c>
      <c r="AA29" s="75" t="str" cm="1">
        <f t="array" aca="1" ref="AA29" ca="1">IF($B29="","",IF(ISBLANK(INDIRECT("R7.Video!D"&amp;SUM(18,38*0,10))),"",INDIRECT("R7.Video!D"&amp;SUM(18,38*0,10))))</f>
        <v/>
      </c>
      <c r="AB29" s="75" t="str" cm="1">
        <f t="array" aca="1" ref="AB29" ca="1">IF($B29="","",IF(ISBLANK(INDIRECT("R7.Video!D"&amp;SUM(18,38*1,10))),"",INDIRECT("R7.Video!D"&amp;SUM(18,38*1,10))))</f>
        <v/>
      </c>
      <c r="AC29" s="75" t="str" cm="1">
        <f t="array" aca="1" ref="AC29" ca="1">IF($B29="","",IF(ISBLANK(INDIRECT("R7.Video!D"&amp;SUM(18,38*2,10))),"",INDIRECT("R7.Video!D"&amp;SUM(18,38*2,10))))</f>
        <v/>
      </c>
      <c r="AD29" s="75" t="str" cm="1">
        <f t="array" aca="1" ref="AD29" ca="1">IF($B29="","",IF(ISBLANK(INDIRECT("R7.Video!D"&amp;SUM(18,38*3,10))),"",INDIRECT("R7.Video!D"&amp;SUM(18,38*3,10))))</f>
        <v/>
      </c>
      <c r="AE29" s="75" t="str" cm="1">
        <f t="array" aca="1" ref="AE29" ca="1">IF($B29="","",IF(ISBLANK(INDIRECT("R7.Video!D"&amp;SUM(18,38*4,10))),"",INDIRECT("R7.Video!D"&amp;SUM(18,38*4,10))))</f>
        <v/>
      </c>
      <c r="AF29" s="75" t="str" cm="1">
        <f t="array" aca="1" ref="AF29" ca="1">IF($B29="","",IF(ISBLANK(INDIRECT("R7.Video!D"&amp;SUM(18,38*5,10))),"",INDIRECT("R7.Video!D"&amp;SUM(18,38*5,10))))</f>
        <v/>
      </c>
      <c r="AG29" s="75" t="str" cm="1">
        <f t="array" aca="1" ref="AG29" ca="1">IF($B29="","",IF(ISBLANK(INDIRECT("R7.Video!D"&amp;SUM(18,38*6,10))),"",INDIRECT("R7.Video!D"&amp;SUM(18,38*6,10))))</f>
        <v/>
      </c>
      <c r="AH29" s="75" t="str" cm="1">
        <f t="array" aca="1" ref="AH29" ca="1">IF($B29="","",IF(ISBLANK(INDIRECT("R7.Video!D"&amp;SUM(18,38*7,10))),"",INDIRECT("R7.Video!D"&amp;SUM(18,38*7,10))))</f>
        <v/>
      </c>
      <c r="AI29" s="75" t="str" cm="1">
        <f t="array" aca="1" ref="AI29" ca="1">IF($B29="","",IF(ISBLANK(INDIRECT("R7.Video!D"&amp;SUM(18,38*8,10))),"",INDIRECT("R7.Video!D"&amp;SUM(18,38*8,10))))</f>
        <v/>
      </c>
      <c r="AJ29" s="75" t="str" cm="1">
        <f t="array" aca="1" ref="AJ29" ca="1">IF($B29="","",IF(ISBLANK(INDIRECT("R9.Web!D"&amp;SUM(18,38*0,10))),"",INDIRECT("R9.Web!D"&amp;SUM(18,38*0,10))))</f>
        <v/>
      </c>
      <c r="AK29" s="75" t="str" cm="1">
        <f t="array" aca="1" ref="AK29" ca="1">IF($B29="","",IF(ISBLANK(INDIRECT("R9.Web!D"&amp;SUM(18,38*1,10))),"",INDIRECT("R9.Web!D"&amp;SUM(18,38*1,10))))</f>
        <v/>
      </c>
      <c r="AL29" s="75" t="str" cm="1">
        <f t="array" aca="1" ref="AL29" ca="1">IF($B29="","",IF(ISBLANK(INDIRECT("R9.Web!D"&amp;SUM(18,38*2,10))),"",INDIRECT("R9.Web!D"&amp;SUM(18,38*2,10))))</f>
        <v/>
      </c>
      <c r="AM29" s="75" t="str" cm="1">
        <f t="array" aca="1" ref="AM29" ca="1">IF($B29="","",IF(ISBLANK(INDIRECT("R9.Web!D"&amp;SUM(18,38*3,10))),"",INDIRECT("R9.Web!D"&amp;SUM(18,38*3,10))))</f>
        <v/>
      </c>
      <c r="AN29" s="75" t="str" cm="1">
        <f t="array" aca="1" ref="AN29" ca="1">IF($B29="","",IF(ISBLANK(INDIRECT("R9.Web!D"&amp;SUM(18,38*4,10))),"",INDIRECT("R9.Web!D"&amp;SUM(18,38*4,10))))</f>
        <v/>
      </c>
      <c r="AO29" s="75" t="str" cm="1">
        <f t="array" aca="1" ref="AO29" ca="1">IF($B29="","",IF(ISBLANK(INDIRECT("R9.Web!D"&amp;SUM(18,38*5,10))),"",INDIRECT("R9.Web!D"&amp;SUM(18,38*5,10))))</f>
        <v/>
      </c>
      <c r="AP29" s="75" t="str" cm="1">
        <f t="array" aca="1" ref="AP29" ca="1">IF($B29="","",IF(ISBLANK(INDIRECT("R9.Web!D"&amp;SUM(18,38*6,10))),"",INDIRECT("R9.Web!D"&amp;SUM(18,38*6,10))))</f>
        <v/>
      </c>
      <c r="AQ29" s="75" t="str" cm="1">
        <f t="array" aca="1" ref="AQ29" ca="1">IF($B29="","",IF(ISBLANK(INDIRECT("R9.Web!D"&amp;SUM(18,38*7,10))),"",INDIRECT("R9.Web!D"&amp;SUM(18,38*7,10))))</f>
        <v/>
      </c>
      <c r="AR29" s="75" t="str" cm="1">
        <f t="array" aca="1" ref="AR29" ca="1">IF($B29="","",IF(ISBLANK(INDIRECT("R9.Web!D"&amp;SUM(18,38*8,10))),"",INDIRECT("R9.Web!D"&amp;SUM(18,38*8,10))))</f>
        <v/>
      </c>
      <c r="AS29" s="75" t="str" cm="1">
        <f t="array" aca="1" ref="AS29" ca="1">IF($B29="","",IF(ISBLANK(INDIRECT("R9.Web!D"&amp;SUM(18,38*9,10))),"",INDIRECT("R9.Web!D"&amp;SUM(18,38*9,10))))</f>
        <v/>
      </c>
      <c r="AT29" s="75" t="str" cm="1">
        <f t="array" aca="1" ref="AT29" ca="1">IF($B29="","",IF(ISBLANK(INDIRECT("R9.Web!D"&amp;SUM(18,38*10,10))),"",INDIRECT("R9.Web!D"&amp;SUM(18,38*10,10))))</f>
        <v/>
      </c>
      <c r="AU29" s="75" t="str" cm="1">
        <f t="array" aca="1" ref="AU29" ca="1">IF($B29="","",IF(ISBLANK(INDIRECT("R9.Web!D"&amp;SUM(18,38*11,10))),"",INDIRECT("R9.Web!D"&amp;SUM(18,38*11,10))))</f>
        <v/>
      </c>
      <c r="AV29" s="75" t="str" cm="1">
        <f t="array" aca="1" ref="AV29" ca="1">IF($B29="","",IF(ISBLANK(INDIRECT("R9.Web!D"&amp;SUM(18,38*12,10))),"",INDIRECT("R9.Web!D"&amp;SUM(18,38*12,10))))</f>
        <v/>
      </c>
      <c r="AW29" s="75" t="str" cm="1">
        <f t="array" aca="1" ref="AW29" ca="1">IF($B29="","",IF(ISBLANK(INDIRECT("R9.Web!D"&amp;SUM(18,38*13,10))),"",INDIRECT("R9.Web!D"&amp;SUM(18,38*13,10))))</f>
        <v/>
      </c>
      <c r="AX29" s="75" t="str" cm="1">
        <f t="array" aca="1" ref="AX29" ca="1">IF($B29="","",IF(ISBLANK(INDIRECT("R9.Web!D"&amp;SUM(18,38*14,10))),"",INDIRECT("R9.Web!D"&amp;SUM(18,38*14,10))))</f>
        <v/>
      </c>
      <c r="AY29" s="75" t="str" cm="1">
        <f t="array" aca="1" ref="AY29" ca="1">IF($B29="","",IF(ISBLANK(INDIRECT("R9.Web!D"&amp;SUM(18,38*15,10))),"",INDIRECT("R9.Web!D"&amp;SUM(18,38*15,10))))</f>
        <v/>
      </c>
      <c r="AZ29" s="75" t="str" cm="1">
        <f t="array" aca="1" ref="AZ29" ca="1">IF($B29="","",IF(ISBLANK(INDIRECT("R9.Web!D"&amp;SUM(18,38*16,10))),"",INDIRECT("R9.Web!D"&amp;SUM(18,38*16,10))))</f>
        <v/>
      </c>
      <c r="BA29" s="75" t="str" cm="1">
        <f t="array" aca="1" ref="BA29" ca="1">IF($B29="","",IF(ISBLANK(INDIRECT("R9.Web!D"&amp;SUM(18,38*17,10))),"",INDIRECT("R9.Web!D"&amp;SUM(18,38*17,10))))</f>
        <v/>
      </c>
      <c r="BB29" s="75" t="str" cm="1">
        <f t="array" aca="1" ref="BB29" ca="1">IF($B29="","",IF(ISBLANK(INDIRECT("R9.Web!D"&amp;SUM(18,38*18,10))),"",INDIRECT("R9.Web!D"&amp;SUM(18,38*18,10))))</f>
        <v/>
      </c>
      <c r="BC29" s="75" t="str" cm="1">
        <f t="array" aca="1" ref="BC29" ca="1">IF($B29="","",IF(ISBLANK(INDIRECT("R9.Web!D"&amp;SUM(18,38*19,10))),"",INDIRECT("R9.Web!D"&amp;SUM(18,38*19,10))))</f>
        <v/>
      </c>
      <c r="BD29" s="75" t="str" cm="1">
        <f t="array" aca="1" ref="BD29" ca="1">IF($B29="","",IF(ISBLANK(INDIRECT("R9.Web!D"&amp;SUM(18,38*20,10))),"",INDIRECT("R9.Web!D"&amp;SUM(18,38*20,10))))</f>
        <v/>
      </c>
      <c r="BE29" s="75" t="str" cm="1">
        <f t="array" aca="1" ref="BE29" ca="1">IF($B29="","",IF(ISBLANK(INDIRECT("R9.Web!D"&amp;SUM(18,38*21,10))),"",INDIRECT("R9.Web!D"&amp;SUM(18,38*21,10))))</f>
        <v/>
      </c>
      <c r="BF29" s="75" t="str" cm="1">
        <f t="array" aca="1" ref="BF29" ca="1">IF($B29="","",IF(ISBLANK(INDIRECT("R9.Web!D"&amp;SUM(18,38*22,10))),"",INDIRECT("R9.Web!D"&amp;SUM(18,38*22,10))))</f>
        <v/>
      </c>
      <c r="BG29" s="75" t="str" cm="1">
        <f t="array" aca="1" ref="BG29" ca="1">IF($B29="","",IF(ISBLANK(INDIRECT("R9.Web!D"&amp;SUM(18,38*23,10))),"",INDIRECT("R9.Web!D"&amp;SUM(18,38*23,10))))</f>
        <v/>
      </c>
      <c r="BH29" s="75" t="str" cm="1">
        <f t="array" aca="1" ref="BH29" ca="1">IF($B29="","",IF(ISBLANK(INDIRECT("R9.Web!D"&amp;SUM(18,38*24,10))),"",INDIRECT("R9.Web!D"&amp;SUM(18,38*24,10))))</f>
        <v/>
      </c>
      <c r="BI29" s="75" t="str" cm="1">
        <f t="array" aca="1" ref="BI29" ca="1">IF($B29="","",IF(ISBLANK(INDIRECT("R9.Web!D"&amp;SUM(18,38*25,10))),"",INDIRECT("R9.Web!D"&amp;SUM(18,38*25,10))))</f>
        <v/>
      </c>
      <c r="BJ29" s="75" t="str" cm="1">
        <f t="array" aca="1" ref="BJ29" ca="1">IF($B29="","",IF(ISBLANK(INDIRECT("R9.Web!D"&amp;SUM(18,38*26,10))),"",INDIRECT("R9.Web!D"&amp;SUM(18,38*26,10))))</f>
        <v/>
      </c>
      <c r="BK29" s="75" t="str" cm="1">
        <f t="array" aca="1" ref="BK29" ca="1">IF($B29="","",IF(ISBLANK(INDIRECT("R9.Web!D"&amp;SUM(18,38*27,10))),"",INDIRECT("R9.Web!D"&amp;SUM(18,38*27,10))))</f>
        <v/>
      </c>
      <c r="BL29" s="75" t="str" cm="1">
        <f t="array" aca="1" ref="BL29" ca="1">IF($B29="","",IF(ISBLANK(INDIRECT("R9.Web!D"&amp;SUM(18,38*28,10))),"",INDIRECT("R9.Web!D"&amp;SUM(18,38*28,10))))</f>
        <v/>
      </c>
      <c r="BM29" s="75" t="str" cm="1">
        <f t="array" aca="1" ref="BM29" ca="1">IF($B29="","",IF(ISBLANK(INDIRECT("R9.Web!D"&amp;SUM(18,38*29,10))),"",INDIRECT("R9.Web!D"&amp;SUM(18,38*29,10))))</f>
        <v/>
      </c>
      <c r="BN29" s="75" t="str" cm="1">
        <f t="array" aca="1" ref="BN29" ca="1">IF($B29="","",IF(ISBLANK(INDIRECT("R9.Web!D"&amp;SUM(18,38*30,10))),"",INDIRECT("R9.Web!D"&amp;SUM(18,38*30,10))))</f>
        <v/>
      </c>
      <c r="BO29" s="75" t="str" cm="1">
        <f t="array" aca="1" ref="BO29" ca="1">IF($B29="","",IF(ISBLANK(INDIRECT("R9.Web!D"&amp;SUM(18,38*31,10))),"",INDIRECT("R9.Web!D"&amp;SUM(18,38*31,10))))</f>
        <v/>
      </c>
      <c r="BP29" s="75" t="str" cm="1">
        <f t="array" aca="1" ref="BP29" ca="1">IF($B29="","",IF(ISBLANK(INDIRECT("R9.Web!D"&amp;SUM(18,38*32,10))),"",INDIRECT("R9.Web!D"&amp;SUM(18,38*32,10))))</f>
        <v/>
      </c>
      <c r="BQ29" s="75" t="str" cm="1">
        <f t="array" aca="1" ref="BQ29" ca="1">IF($B29="","",IF(ISBLANK(INDIRECT("R9.Web!D"&amp;SUM(18,38*33,10))),"",INDIRECT("R9.Web!D"&amp;SUM(18,38*33,10))))</f>
        <v/>
      </c>
      <c r="BR29" s="75" t="str" cm="1">
        <f t="array" aca="1" ref="BR29" ca="1">IF($B29="","",IF(ISBLANK(INDIRECT("R9.Web!D"&amp;SUM(18,38*34,10))),"",INDIRECT("R9.Web!D"&amp;SUM(18,38*34,10))))</f>
        <v/>
      </c>
      <c r="BS29" s="75" t="str" cm="1">
        <f t="array" aca="1" ref="BS29" ca="1">IF($B29="","",IF(ISBLANK(INDIRECT("R9.Web!D"&amp;SUM(18,38*35,10))),"",INDIRECT("R9.Web!D"&amp;SUM(18,38*35,10))))</f>
        <v/>
      </c>
      <c r="BT29" s="75" t="str" cm="1">
        <f t="array" aca="1" ref="BT29" ca="1">IF($B29="","",IF(ISBLANK(INDIRECT("R9.Web!D"&amp;SUM(18,38*36,10))),"",INDIRECT("R9.Web!D"&amp;SUM(18,38*36,10))))</f>
        <v/>
      </c>
      <c r="BU29" s="75" t="str" cm="1">
        <f t="array" aca="1" ref="BU29" ca="1">IF($B29="","",IF(ISBLANK(INDIRECT("R9.Web!D"&amp;SUM(18,38*37,10))),"",INDIRECT("R9.Web!D"&amp;SUM(18,38*37,10))))</f>
        <v/>
      </c>
      <c r="BV29" s="75" t="str" cm="1">
        <f t="array" aca="1" ref="BV29" ca="1">IF($B29="","",IF(ISBLANK(INDIRECT("R9.Web!D"&amp;SUM(18,38*38,10))),"",INDIRECT("R9.Web!D"&amp;SUM(18,38*38,10))))</f>
        <v/>
      </c>
      <c r="BW29" s="75" t="str" cm="1">
        <f t="array" aca="1" ref="BW29" ca="1">IF($B29="","",IF(ISBLANK(INDIRECT("R9.Web!D"&amp;SUM(18,38*39,10))),"",INDIRECT("R9.Web!D"&amp;SUM(18,38*39,10))))</f>
        <v/>
      </c>
      <c r="BX29" s="75" t="str" cm="1">
        <f t="array" aca="1" ref="BX29" ca="1">IF($B29="","",IF(ISBLANK(INDIRECT("R9.Web!D"&amp;SUM(18,38*40,10))),"",INDIRECT("R9.Web!D"&amp;SUM(18,38*40,10))))</f>
        <v/>
      </c>
      <c r="BY29" s="75" t="str" cm="1">
        <f t="array" aca="1" ref="BY29" ca="1">IF($B29="","",IF(ISBLANK(INDIRECT("R9.Web!D"&amp;SUM(18,38*41,10))),"",INDIRECT("R9.Web!D"&amp;SUM(18,38*41,10))))</f>
        <v/>
      </c>
      <c r="BZ29" s="75" t="str" cm="1">
        <f t="array" aca="1" ref="BZ29" ca="1">IF($B29="","",IF(ISBLANK(INDIRECT("R9.Web!D"&amp;SUM(18,38*42,10))),"",INDIRECT("R9.Web!D"&amp;SUM(18,38*42,10))))</f>
        <v/>
      </c>
      <c r="CA29" s="75" t="str" cm="1">
        <f t="array" aca="1" ref="CA29" ca="1">IF($B29="","",IF(ISBLANK(INDIRECT("R9.Web!D"&amp;SUM(18,38*43,10))),"",INDIRECT("R9.Web!D"&amp;SUM(18,38*43,10))))</f>
        <v/>
      </c>
      <c r="CB29" s="75" t="str" cm="1">
        <f t="array" aca="1" ref="CB29" ca="1">IF($B29="","",IF(ISBLANK(INDIRECT("R9.Web!D"&amp;SUM(18,38*44,10))),"",INDIRECT("R9.Web!D"&amp;SUM(18,38*44,10))))</f>
        <v/>
      </c>
      <c r="CC29" s="75" t="str" cm="1">
        <f t="array" aca="1" ref="CC29" ca="1">IF($B29="","",IF(ISBLANK(INDIRECT("R9.Web!D"&amp;SUM(18,38*45,10))),"",INDIRECT("R9.Web!D"&amp;SUM(18,38*45,10))))</f>
        <v/>
      </c>
      <c r="CD29" s="75" t="str" cm="1">
        <f t="array" aca="1" ref="CD29" ca="1">IF($B29="","",IF(ISBLANK(INDIRECT("R9.Web!D"&amp;SUM(18,38*46,10))),"",INDIRECT("R9.Web!D"&amp;SUM(18,38*46,10))))</f>
        <v/>
      </c>
      <c r="CE29" s="75" t="str" cm="1">
        <f t="array" aca="1" ref="CE29" ca="1">IF($B29="","",IF(ISBLANK(INDIRECT("R9.Web!D"&amp;SUM(18,38*47,10))),"",INDIRECT("R9.Web!D"&amp;SUM(18,38*47,10))))</f>
        <v/>
      </c>
      <c r="CF29" s="75" t="str" cm="1">
        <f t="array" aca="1" ref="CF29" ca="1">IF($B29="","",IF(ISBLANK(INDIRECT("R9.Web!D"&amp;SUM(18,38*48,10))),"",INDIRECT("R9.Web!D"&amp;SUM(18,38*48,10))))</f>
        <v/>
      </c>
      <c r="CG29" s="75" t="str" cm="1">
        <f t="array" aca="1" ref="CG29" ca="1">IF($B29="","",IF(ISBLANK(INDIRECT("R9.Web!D"&amp;SUM(18,38*49,10))),"",INDIRECT("R9.Web!D"&amp;SUM(18,38*49,10))))</f>
        <v/>
      </c>
      <c r="CH29" s="75" t="str" cm="1">
        <f t="array" aca="1" ref="CH29" ca="1">IF($B29="","",IF(ISBLANK(INDIRECT("R11.Software!D"&amp;SUM(18,38*0,10))),"",INDIRECT("R11.Software!D"&amp;SUM(18,38*0,10))))</f>
        <v/>
      </c>
      <c r="CI29" s="75" t="str" cm="1">
        <f t="array" aca="1" ref="CI29" ca="1">IF($B29="","",IF(ISBLANK(INDIRECT("R11.Software!D"&amp;SUM(18,38*1,10))),"",INDIRECT("R11.Software!D"&amp;SUM(18,38*1,10))))</f>
        <v/>
      </c>
      <c r="CJ29" s="75" t="str" cm="1">
        <f t="array" aca="1" ref="CJ29" ca="1">IF($B29="","",IF(ISBLANK(INDIRECT("R11.Software!D"&amp;SUM(18,38*2,10))),"",INDIRECT("R11.Software!D"&amp;SUM(18,38*2,10))))</f>
        <v/>
      </c>
      <c r="CK29" s="75" t="str" cm="1">
        <f t="array" aca="1" ref="CK29" ca="1">IF($B29="","",IF(ISBLANK(INDIRECT("R11.Software!D"&amp;SUM(18,38*3,10))),"",INDIRECT("R11.Software!D"&amp;SUM(18,38*3,10))))</f>
        <v/>
      </c>
      <c r="CL29" s="75" t="str" cm="1">
        <f t="array" aca="1" ref="CL29" ca="1">IF($B29="","",IF(ISBLANK(INDIRECT("R11.Software!D"&amp;SUM(18,38*4,10))),"",INDIRECT("R11.Software!D"&amp;SUM(18,38*4,10))))</f>
        <v/>
      </c>
      <c r="CM29" s="75" t="str" cm="1">
        <f t="array" aca="1" ref="CM29" ca="1">IF($B29="","",IF(ISBLANK(INDIRECT("R11.Software!D"&amp;SUM(18,38*5,10))),"",INDIRECT("R11.Software!D"&amp;SUM(18,38*5,10))))</f>
        <v/>
      </c>
      <c r="CN29" s="75" t="str" cm="1">
        <f t="array" aca="1" ref="CN29" ca="1">IF($B29="","",IF(ISBLANK(INDIRECT("R12.ServiciosApoyo!D"&amp;SUM(18,38*0,10))),"",INDIRECT("R12.ServiciosApoyo!D"&amp;SUM(18,38*0,10))))</f>
        <v/>
      </c>
      <c r="CO29" s="75" t="str" cm="1">
        <f t="array" aca="1" ref="CO29" ca="1">IF($B29="","",IF(ISBLANK(INDIRECT("R12.ServiciosApoyo!D"&amp;SUM(18,38*1,10))),"",INDIRECT("R12.ServiciosApoyo!D"&amp;SUM(18,38*1,10))))</f>
        <v/>
      </c>
      <c r="CP29" s="75" t="str" cm="1">
        <f t="array" aca="1" ref="CP29" ca="1">IF($B29="","",IF(ISBLANK(INDIRECT("R12.ServiciosApoyo!D"&amp;SUM(18,38*2,10))),"",INDIRECT("R12.ServiciosApoyo!D"&amp;SUM(18,38*2,10))))</f>
        <v/>
      </c>
      <c r="CQ29" s="75" t="str" cm="1">
        <f t="array" aca="1" ref="CQ29" ca="1">IF($B29="","",IF(ISBLANK(INDIRECT("R12.ServiciosApoyo!D"&amp;SUM(18,38*3,10))),"",INDIRECT("R12.ServiciosApoyo!D"&amp;SUM(18,38*3,10))))</f>
        <v/>
      </c>
      <c r="CR29" s="75" t="str" cm="1">
        <f t="array" aca="1" ref="CR29" ca="1">IF($B29="","",IF(ISBLANK(INDIRECT("R12.ServiciosApoyo!D"&amp;SUM(18,38*4,10))),"",INDIRECT("R12.ServiciosApoyo!D"&amp;SUM(18,38*4,10))))</f>
        <v/>
      </c>
      <c r="CU29" s="76"/>
    </row>
    <row r="30" spans="2:100" ht="20.5">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NO 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N/A</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N/A</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NO 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N/A</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39" t="s">
        <v>264</v>
      </c>
      <c r="C58" s="239"/>
      <c r="D58" s="239"/>
    </row>
    <row r="59" spans="2:99" ht="23.25" customHeight="1">
      <c r="B59" s="233" t="s">
        <v>270</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cm="1">
        <f t="array" ref="B61">IFERROR(INDEX('03.Muestra'!$B$8:$B$42,SMALL(IF("Documento no web"='03.Muestra'!$D$8:$D$42,ROW('03.Muestra'!$B$8:$B$42)-MIN(ROW('03.Muestra'!$D$8:$D$42))+1,""),ROW()-60)),"")</f>
        <v>8</v>
      </c>
      <c r="C61" s="73" t="str" cm="1">
        <f t="array" ref="C61">IFERROR(INDEX('03.Muestra'!$C$8:$C$42,SMALL(IF("Documento no web"='03.Muestra'!$D$8:$D$42,ROW('03.Muestra'!$C$8:$C$42)-MIN(ROW('03.Muestra'!$D$8:$D$42))+1,""),ROW()-60)),"")</f>
        <v>Inicio/Descargar boletin completo</v>
      </c>
      <c r="D61" s="74" t="str" cm="1">
        <f t="array" ref="D61">IFERROR(INDEX('03.Muestra'!$F$8:$F$42,SMALL(IF("Documento no web"='03.Muestra'!$D$8:$D$42,ROW('03.Muestra'!$F$8:$F$42)-MIN(ROW('03.Muestra'!$D$8:$D$42))+1,""),ROW()-60)),"")</f>
        <v>https://www.bocm.es/boletin/CM_Boletin_BOCM/2024/01/10/00800.PDF</v>
      </c>
      <c r="E61" s="75" t="str" cm="1">
        <f t="array" aca="1" ref="E61" ca="1">IF($B61="","",IF(ISBLANK(INDIRECT("'R10.Documentos no web'!D"&amp;SUM(18,38*0,1))),"",INDIRECT("'R10.Documentos no web'!D"&amp;SUM(18,38*0,1))))</f>
        <v>Pasa</v>
      </c>
      <c r="F61" s="75" t="str" cm="1">
        <f t="array" aca="1" ref="F61" ca="1">IF($B61="","",IF(ISBLANK(INDIRECT("'R10.Documentos no web'!D"&amp;SUM(18,38*1,1))),"",INDIRECT("'R10.Documentos no web'!D"&amp;SUM(18,38*1,1))))</f>
        <v>N/A</v>
      </c>
      <c r="G61" s="75" t="str" cm="1">
        <f t="array" aca="1" ref="G61" ca="1">IF($B61="","",IF(ISBLANK(INDIRECT("'R10.Documentos no web'!D"&amp;SUM(18,38*2,1))),"",INDIRECT("'R10.Documentos no web'!D"&amp;SUM(18,38*2,1))))</f>
        <v>N/A</v>
      </c>
      <c r="H61" s="75" t="str" cm="1">
        <f t="array" aca="1" ref="H61" ca="1">IF($B61="","",IF(ISBLANK(INDIRECT("'R10.Documentos no web'!D"&amp;SUM(18,38*3,1))),"",INDIRECT("'R10.Documentos no web'!D"&amp;SUM(18,38*3,1))))</f>
        <v>N/A</v>
      </c>
      <c r="I61" s="75" t="str" cm="1">
        <f t="array" aca="1" ref="I61" ca="1">IF($B61="","",IF(ISBLANK(INDIRECT("'R10.Documentos no web'!D"&amp;SUM(18,38*4,1))),"",INDIRECT("'R10.Documentos no web'!D"&amp;SUM(18,38*4,1))))</f>
        <v>N/A</v>
      </c>
      <c r="J61" s="75" t="str" cm="1">
        <f t="array" aca="1" ref="J61" ca="1">IF($B61="","",IF(ISBLANK(INDIRECT("'R10.Documentos no web'!D"&amp;SUM(18,38*5,1))),"",INDIRECT("'R10.Documentos no web'!D"&amp;SUM(18,38*5,1))))</f>
        <v>N/A</v>
      </c>
      <c r="K61" s="75" t="str" cm="1">
        <f t="array" aca="1" ref="K61" ca="1">IF($B61="","",IF(ISBLANK(INDIRECT("'R10.Documentos no web'!D"&amp;SUM(18,38*6,1))),"",INDIRECT("'R10.Documentos no web'!D"&amp;SUM(18,38*6,1))))</f>
        <v>N/A</v>
      </c>
      <c r="L61" s="75" t="str" cm="1">
        <f t="array" aca="1" ref="L61" ca="1">IF($B61="","",IF(ISBLANK(INDIRECT("'R10.Documentos no web'!D"&amp;SUM(18,38*7,1))),"",INDIRECT("'R10.Documentos no web'!D"&amp;SUM(18,38*7,1))))</f>
        <v>N/A</v>
      </c>
      <c r="M61" s="75" t="str" cm="1">
        <f t="array" aca="1" ref="M61" ca="1">IF($B61="","",IF(ISBLANK(INDIRECT("'R10.Documentos no web'!D"&amp;SUM(18,38*8,1))),"",INDIRECT("'R10.Documentos no web'!D"&amp;SUM(18,38*8,1))))</f>
        <v>N/A</v>
      </c>
      <c r="N61" s="75" t="str" cm="1">
        <f t="array" aca="1" ref="N61" ca="1">IF($B61="","",IF(ISBLANK(INDIRECT("'R10.Documentos no web'!D"&amp;SUM(18,38*9,1))),"",INDIRECT("'R10.Documentos no web'!D"&amp;SUM(18,38*9,1))))</f>
        <v>N/A</v>
      </c>
      <c r="O61" s="75" t="str" cm="1">
        <f t="array" aca="1" ref="O61" ca="1">IF($B61="","",IF(ISBLANK(INDIRECT("'R10.Documentos no web'!D"&amp;SUM(18,38*10,1))),"",INDIRECT("'R10.Documentos no web'!D"&amp;SUM(18,38*10,1))))</f>
        <v>N/A</v>
      </c>
      <c r="P61" s="75" t="str" cm="1">
        <f t="array" aca="1" ref="P61" ca="1">IF($B61="","",IF(ISBLANK(INDIRECT("'R10.Documentos no web'!D"&amp;SUM(18,38*11,1))),"",INDIRECT("'R10.Documentos no web'!D"&amp;SUM(18,38*11,1))))</f>
        <v>N/A</v>
      </c>
      <c r="Q61" s="75" t="str" cm="1">
        <f t="array" aca="1" ref="Q61" ca="1">IF($B61="","",IF(ISBLANK(INDIRECT("'R10.Documentos no web'!D"&amp;SUM(18,38*12,1))),"",INDIRECT("'R10.Documentos no web'!D"&amp;SUM(18,38*12,1))))</f>
        <v>Pasa</v>
      </c>
      <c r="R61" s="75" t="str" cm="1">
        <f t="array" aca="1" ref="R61" ca="1">IF($B61="","",IF(ISBLANK(INDIRECT("'R10.Documentos no web'!D"&amp;SUM(18,38*13,1))),"",INDIRECT("'R10.Documentos no web'!D"&amp;SUM(18,38*13,1))))</f>
        <v>N/A</v>
      </c>
      <c r="S61" s="75" t="str" cm="1">
        <f t="array" aca="1" ref="S61" ca="1">IF($B61="","",IF(ISBLANK(INDIRECT("'R10.Documentos no web'!D"&amp;SUM(18,38*14,1))),"",INDIRECT("'R10.Documentos no web'!D"&amp;SUM(18,38*14,1))))</f>
        <v>N/A</v>
      </c>
      <c r="T61" s="75" t="str" cm="1">
        <f t="array" aca="1" ref="T61" ca="1">IF($B61="","",IF(ISBLANK(INDIRECT("'R10.Documentos no web'!D"&amp;SUM(18,38*15,1))),"",INDIRECT("'R10.Documentos no web'!D"&amp;SUM(18,38*15,1))))</f>
        <v>N/A</v>
      </c>
      <c r="U61" s="75" t="str" cm="1">
        <f t="array" aca="1" ref="U61" ca="1">IF($B61="","",IF(ISBLANK(INDIRECT("'R10.Documentos no web'!D"&amp;SUM(18,38*16,1))),"",INDIRECT("'R10.Documentos no web'!D"&amp;SUM(18,38*16,1))))</f>
        <v>N/A</v>
      </c>
      <c r="V61" s="75" t="str" cm="1">
        <f t="array" aca="1" ref="V61" ca="1">IF($B61="","",IF(ISBLANK(INDIRECT("'R10.Documentos no web'!D"&amp;SUM(18,38*17,1))),"",INDIRECT("'R10.Documentos no web'!D"&amp;SUM(18,38*17,1))))</f>
        <v>N/A</v>
      </c>
      <c r="W61" s="75" t="str" cm="1">
        <f t="array" aca="1" ref="W61" ca="1">IF($B61="","",IF(ISBLANK(INDIRECT("'R10.Documentos no web'!D"&amp;SUM(18,38*18,1))),"",INDIRECT("'R10.Documentos no web'!D"&amp;SUM(18,38*18,1))))</f>
        <v>N/A</v>
      </c>
      <c r="X61" s="75" t="str" cm="1">
        <f t="array" aca="1" ref="X61" ca="1">IF($B61="","",IF(ISBLANK(INDIRECT("'R10.Documentos no web'!D"&amp;SUM(18,38*19,1))),"",INDIRECT("'R10.Documentos no web'!D"&amp;SUM(18,38*19,1))))</f>
        <v>Pasa</v>
      </c>
      <c r="Y61" s="75" t="str" cm="1">
        <f t="array" aca="1" ref="Y61" ca="1">IF($B61="","",IF(ISBLANK(INDIRECT("'R10.Documentos no web'!D"&amp;SUM(18,38*20,1))),"",INDIRECT("'R10.Documentos no web'!D"&amp;SUM(18,38*20,1))))</f>
        <v>N/A</v>
      </c>
      <c r="Z61" s="75" t="str" cm="1">
        <f t="array" aca="1" ref="Z61" ca="1">IF($B61="","",IF(ISBLANK(INDIRECT("'R10.Documentos no web'!D"&amp;SUM(18,38*21,1))),"",INDIRECT("'R10.Documentos no web'!D"&amp;SUM(18,38*21,1))))</f>
        <v>N/A</v>
      </c>
      <c r="AA61" s="75" t="str" cm="1">
        <f t="array" aca="1" ref="AA61" ca="1">IF($B61="","",IF(ISBLANK(INDIRECT("'R10.Documentos no web'!D"&amp;SUM(18,38*22,1))),"",INDIRECT("'R10.Documentos no web'!D"&amp;SUM(18,38*22,1))))</f>
        <v>N/A</v>
      </c>
      <c r="AB61" s="75" t="str" cm="1">
        <f t="array" aca="1" ref="AB61" ca="1">IF($B61="","",IF(ISBLANK(INDIRECT("'R10.Documentos no web'!D"&amp;SUM(18,38*23,1))),"",INDIRECT("'R10.Documentos no web'!D"&amp;SUM(18,38*23,1))))</f>
        <v>N/A</v>
      </c>
      <c r="AC61" s="75" t="str" cm="1">
        <f t="array" aca="1" ref="AC61" ca="1">IF($B61="","",IF(ISBLANK(INDIRECT("'R10.Documentos no web'!D"&amp;SUM(18,38*24,1))),"",INDIRECT("'R10.Documentos no web'!D"&amp;SUM(18,38*24,1))))</f>
        <v>N/A</v>
      </c>
      <c r="AD61" s="75" t="str" cm="1">
        <f t="array" aca="1" ref="AD61" ca="1">IF($B61="","",IF(ISBLANK(INDIRECT("'R10.Documentos no web'!D"&amp;SUM(18,38*25,1))),"",INDIRECT("'R10.Documentos no web'!D"&amp;SUM(18,38*25,1))))</f>
        <v>Pasa</v>
      </c>
      <c r="AE61" s="75" t="str" cm="1">
        <f t="array" aca="1" ref="AE61" ca="1">IF($B61="","",IF(ISBLANK(INDIRECT("'R10.Documentos no web'!D"&amp;SUM(18,38*26,1))),"",INDIRECT("'R10.Documentos no web'!D"&amp;SUM(18,38*26,1))))</f>
        <v>Pasa</v>
      </c>
      <c r="AF61" s="75" t="str" cm="1">
        <f t="array" aca="1" ref="AF61" ca="1">IF($B61="","",IF(ISBLANK(INDIRECT("'R10.Documentos no web'!D"&amp;SUM(18,38*27,1))),"",INDIRECT("'R10.Documentos no web'!D"&amp;SUM(18,38*27,1))))</f>
        <v>Pasa</v>
      </c>
      <c r="AG61" s="75" t="str" cm="1">
        <f t="array" aca="1" ref="AG61" ca="1">IF($B61="","",IF(ISBLANK(INDIRECT("'R10.Documentos no web'!D"&amp;SUM(18,38*28,1))),"",INDIRECT("'R10.Documentos no web'!D"&amp;SUM(18,38*28,1))))</f>
        <v>N/A</v>
      </c>
      <c r="AH61" s="75" t="str" cm="1">
        <f t="array" aca="1" ref="AH61" ca="1">IF($B61="","",IF(ISBLANK(INDIRECT("'R10.Documentos no web'!D"&amp;SUM(18,38*29,1))),"",INDIRECT("'R10.Documentos no web'!D"&amp;SUM(18,38*29,1))))</f>
        <v>N/A</v>
      </c>
      <c r="AI61" s="75" t="str" cm="1">
        <f t="array" aca="1" ref="AI61" ca="1">IF($B61="","",IF(ISBLANK(INDIRECT("'R10.Documentos no web'!D"&amp;SUM(18,38*30,1))),"",INDIRECT("'R10.Documentos no web'!D"&amp;SUM(18,38*30,1))))</f>
        <v>N/A</v>
      </c>
      <c r="AJ61" s="75" t="str" cm="1">
        <f t="array" aca="1" ref="AJ61" ca="1">IF($B61="","",IF(ISBLANK(INDIRECT("'R10.Documentos no web'!D"&amp;SUM(18,38*31,1))),"",INDIRECT("'R10.Documentos no web'!D"&amp;SUM(18,38*31,1))))</f>
        <v>N/A</v>
      </c>
      <c r="AK61" s="75" t="str" cm="1">
        <f t="array" aca="1" ref="AK61" ca="1">IF($B61="","",IF(ISBLANK(INDIRECT("'R10.Documentos no web'!D"&amp;SUM(18,38*32,1))),"",INDIRECT("'R10.Documentos no web'!D"&amp;SUM(18,38*32,1))))</f>
        <v>N/A</v>
      </c>
      <c r="AL61" s="75" t="str" cm="1">
        <f t="array" aca="1" ref="AL61" ca="1">IF($B61="","",IF(ISBLANK(INDIRECT("'R10.Documentos no web'!D"&amp;SUM(18,38*33,1))),"",INDIRECT("'R10.Documentos no web'!D"&amp;SUM(18,38*33,1))))</f>
        <v>N/A</v>
      </c>
      <c r="AM61" s="75" t="str" cm="1">
        <f t="array" aca="1" ref="AM61" ca="1">IF($B61="","",IF(ISBLANK(INDIRECT("'R10.Documentos no web'!D"&amp;SUM(18,38*34,1))),"",INDIRECT("'R10.Documentos no web'!D"&amp;SUM(18,38*34,1))))</f>
        <v>Pasa</v>
      </c>
      <c r="AN61" s="75" t="str" cm="1">
        <f t="array" aca="1" ref="AN61" ca="1">IF($B61="","",IF(ISBLANK(INDIRECT("'R10.Documentos no web'!D"&amp;SUM(18,38*35,1))),"",INDIRECT("'R10.Documentos no web'!D"&amp;SUM(18,38*35,1))))</f>
        <v>N/A</v>
      </c>
      <c r="AO61" s="75" t="str" cm="1">
        <f t="array" aca="1" ref="AO61" ca="1">IF($B61="","",IF(ISBLANK(INDIRECT("'R10.Documentos no web'!D"&amp;SUM(18,38*36,1))),"",INDIRECT("'R10.Documentos no web'!D"&amp;SUM(18,38*36,1))))</f>
        <v>Pasa</v>
      </c>
      <c r="AP61" s="75" t="str" cm="1">
        <f t="array" aca="1" ref="AP61" ca="1">IF($B61="","",IF(ISBLANK(INDIRECT("'R10.Documentos no web'!D"&amp;SUM(18,38*37,1))),"",INDIRECT("'R10.Documentos no web'!D"&amp;SUM(18,38*37,1))))</f>
        <v>N/A</v>
      </c>
      <c r="AQ61" s="75" t="str" cm="1">
        <f t="array" aca="1" ref="AQ61" ca="1">IF($B61="","",IF(ISBLANK(INDIRECT("'R10.Documentos no web'!D"&amp;SUM(18,38*38,1))),"",INDIRECT("'R10.Documentos no web'!D"&amp;SUM(18,38*38,1))))</f>
        <v>N/A</v>
      </c>
      <c r="AR61" s="75" t="str" cm="1">
        <f t="array" aca="1" ref="AR61" ca="1">IF($B61="","",IF(ISBLANK(INDIRECT("'R10.Documentos no web'!D"&amp;SUM(18,38*39,1))),"",INDIRECT("'R10.Documentos no web'!D"&amp;SUM(18,38*39,1))))</f>
        <v>N/A</v>
      </c>
      <c r="AS61" s="75" t="str" cm="1">
        <f t="array" aca="1" ref="AS61" ca="1">IF($B61="","",IF(ISBLANK(INDIRECT("'R10.Documentos no web'!D"&amp;SUM(18,38*40,1))),"",INDIRECT("'R10.Documentos no web'!D"&amp;SUM(18,38*40,1))))</f>
        <v>N/A</v>
      </c>
      <c r="AT61" s="75" t="str" cm="1">
        <f t="array" aca="1" ref="AT61" ca="1">IF($B61="","",IF(ISBLANK(INDIRECT("'R10.Documentos no web'!D"&amp;SUM(18,38*41,1))),"",INDIRECT("'R10.Documentos no web'!D"&amp;SUM(18,38*41,1))))</f>
        <v>N/A</v>
      </c>
      <c r="AU61" s="75" t="str" cm="1">
        <f t="array" aca="1" ref="AU61" ca="1">IF($B61="","",IF(ISBLANK(INDIRECT("'R10.Documentos no web'!D"&amp;SUM(18,38*42,1))),"",INDIRECT("'R10.Documentos no web'!D"&amp;SUM(18,38*42,1))))</f>
        <v>N/A</v>
      </c>
      <c r="AV61" s="75" t="str" cm="1">
        <f t="array" aca="1" ref="AV61" ca="1">IF($B61="","",IF(ISBLANK(INDIRECT("'R10.Documentos no web'!D"&amp;SUM(18,38*43,1))),"",INDIRECT("'R10.Documentos no web'!D"&amp;SUM(18,38*43,1))))</f>
        <v>N/A</v>
      </c>
      <c r="AW61" s="75" t="str" cm="1">
        <f t="array" aca="1" ref="AW61" ca="1">IF($B61="","",IF(ISBLANK(INDIRECT("'R10.Documentos no web'!D"&amp;SUM(18,38*44,1))),"",INDIRECT("'R10.Documentos no web'!D"&amp;SUM(18,38*44,1))))</f>
        <v>N/A</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CONFORME</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CONFORME</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CONFORME</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CONFORME</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CONFORME</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CONFORME</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CONFORME</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CONFORME</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34</v>
      </c>
      <c r="G9" t="s">
        <v>422</v>
      </c>
      <c r="I9" t="s">
        <v>423</v>
      </c>
      <c r="K9" t="s">
        <v>53</v>
      </c>
      <c r="M9" t="s">
        <v>424</v>
      </c>
      <c r="O9" t="s">
        <v>425</v>
      </c>
      <c r="S9" t="s">
        <v>426</v>
      </c>
      <c r="U9" s="21" t="s">
        <v>102</v>
      </c>
      <c r="V9" s="21"/>
    </row>
    <row r="10" spans="3:22" ht="12.75" customHeight="1">
      <c r="C10" s="3" t="s">
        <v>427</v>
      </c>
      <c r="E10" s="16" t="s">
        <v>36</v>
      </c>
      <c r="G10" t="s">
        <v>45</v>
      </c>
      <c r="I10" t="s">
        <v>428</v>
      </c>
      <c r="K10" t="s">
        <v>35</v>
      </c>
      <c r="M10" t="s">
        <v>429</v>
      </c>
      <c r="O10" t="s">
        <v>430</v>
      </c>
      <c r="S10" t="s">
        <v>431</v>
      </c>
      <c r="U10" s="21" t="s">
        <v>103</v>
      </c>
      <c r="V10" s="21"/>
    </row>
    <row r="11" spans="3:22" ht="12.75" customHeight="1">
      <c r="C11" s="3" t="s">
        <v>432</v>
      </c>
      <c r="E11" s="16" t="s">
        <v>37</v>
      </c>
      <c r="G11" t="s">
        <v>433</v>
      </c>
      <c r="O11" t="s">
        <v>434</v>
      </c>
      <c r="S11" t="s">
        <v>435</v>
      </c>
      <c r="U11" s="21" t="s">
        <v>104</v>
      </c>
      <c r="V11" s="21"/>
    </row>
    <row r="12" spans="3:22" ht="12.75" customHeight="1">
      <c r="C12" s="3" t="s">
        <v>436</v>
      </c>
      <c r="E12" s="16" t="s">
        <v>38</v>
      </c>
      <c r="O12" t="s">
        <v>437</v>
      </c>
      <c r="U12" s="21" t="s">
        <v>94</v>
      </c>
      <c r="V12" s="21"/>
    </row>
    <row r="13" spans="3:22" ht="12.75" customHeight="1">
      <c r="E13" s="16" t="s">
        <v>39</v>
      </c>
      <c r="O13" t="s">
        <v>438</v>
      </c>
      <c r="U13" s="21" t="s">
        <v>92</v>
      </c>
      <c r="V13" s="21"/>
    </row>
    <row r="14" spans="3:22" ht="12.75" customHeight="1">
      <c r="E14" s="16" t="s">
        <v>40</v>
      </c>
      <c r="O14" t="s">
        <v>439</v>
      </c>
    </row>
    <row r="15" spans="3:22" ht="12.75" customHeight="1">
      <c r="E15" s="16" t="s">
        <v>41</v>
      </c>
      <c r="O15" t="s">
        <v>440</v>
      </c>
    </row>
    <row r="16" spans="3:22" ht="12.75" customHeight="1">
      <c r="E16" s="16" t="s">
        <v>42</v>
      </c>
      <c r="O16" t="s">
        <v>441</v>
      </c>
    </row>
    <row r="17" spans="2:15" ht="12.75" customHeight="1">
      <c r="E17" s="16" t="s">
        <v>43</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8</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f>'01.Definición de ámbito'!C9</f>
        <v>0</v>
      </c>
      <c r="E3" s="109" t="s">
        <v>56</v>
      </c>
      <c r="F3" s="112" t="str">
        <f>'02.Tecnologías'!C10</f>
        <v>No</v>
      </c>
      <c r="G3" s="112">
        <f>'02.Tecnologías'!K13</f>
        <v>0</v>
      </c>
      <c r="H3" s="112">
        <f>'02.Tecnologías'!L13</f>
        <v>0</v>
      </c>
      <c r="I3" s="162"/>
      <c r="J3" s="162"/>
      <c r="K3" s="118" t="s">
        <v>468</v>
      </c>
      <c r="L3" s="163">
        <f>'03.Muestra'!D47</f>
        <v>8</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Inicio de sesión</v>
      </c>
      <c r="X3" s="113" t="str">
        <f>RESULTADOS!D20</f>
        <v>https://www.bocm.es/</v>
      </c>
      <c r="Y3" s="113" t="str">
        <f t="array" ref="Y3:Y37">IFERROR(INDEX('03.Muestra'!$G$8:$G$42,SMALL(IF("Página Web"='03.Muestra'!$D$8:$D$42,ROW('03.Muestra'!$G$8:$GE$42)-MIN(ROW('03.Muestra'!$D$8:$D$42))+1,""),ROW()-2)),"")</f>
        <v>Inicio</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Pasa</v>
      </c>
      <c r="BM3" s="111" t="str">
        <f ca="1">RESULTADOS!AQ20</f>
        <v>Pasa</v>
      </c>
      <c r="BN3" s="111" t="str">
        <f ca="1">RESULTADOS!AR20</f>
        <v>N/A</v>
      </c>
      <c r="BO3" s="111" t="str">
        <f ca="1">RESULTADOS!AS20</f>
        <v>Pasa</v>
      </c>
      <c r="BP3" s="111" t="str">
        <f ca="1">RESULTADOS!AT20</f>
        <v>Pasa</v>
      </c>
      <c r="BQ3" s="111" t="str">
        <f ca="1">RESULTADOS!AU20</f>
        <v>N/A</v>
      </c>
      <c r="BR3" s="111" t="str">
        <f ca="1">RESULTADOS!AV20</f>
        <v>Falla</v>
      </c>
      <c r="BS3" s="111" t="str">
        <f ca="1">RESULTADOS!AW20</f>
        <v>Pasa</v>
      </c>
      <c r="BT3" s="111" t="str">
        <f ca="1">RESULTADOS!AX20</f>
        <v>N/A</v>
      </c>
      <c r="BU3" s="111" t="str">
        <f ca="1">RESULTADOS!AY20</f>
        <v>Pasa</v>
      </c>
      <c r="BV3" s="111" t="str">
        <f ca="1">RESULTADOS!AZ20</f>
        <v>Pasa</v>
      </c>
      <c r="BW3" s="111" t="str">
        <f ca="1">RESULTADOS!BA20</f>
        <v>Pasa</v>
      </c>
      <c r="BX3" s="111" t="str">
        <f ca="1">RESULTADOS!BB20</f>
        <v>N/A</v>
      </c>
      <c r="BY3" s="111" t="str">
        <f ca="1">RESULTADOS!BC20</f>
        <v>Falla</v>
      </c>
      <c r="BZ3" s="111" t="str">
        <f ca="1">RESULTADOS!BD20</f>
        <v>Falla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Pasa</v>
      </c>
      <c r="CH3" s="111" t="str">
        <f ca="1">RESULTADOS!BL20</f>
        <v>Pasa</v>
      </c>
      <c r="CI3" s="111" t="str">
        <f ca="1">RESULTADOS!BM20</f>
        <v>Pasa</v>
      </c>
      <c r="CJ3" s="111" t="str">
        <f ca="1">RESULTADOS!BN20</f>
        <v>Pasa</v>
      </c>
      <c r="CK3" s="111" t="str">
        <f ca="1">RESULTADOS!BO20</f>
        <v>Falla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N/A</v>
      </c>
      <c r="CU3" s="111" t="str">
        <f ca="1">RESULTADOS!BY20</f>
        <v>N/A</v>
      </c>
      <c r="CV3" s="111" t="str">
        <f ca="1">RESULTADOS!BZ20</f>
        <v>N/A</v>
      </c>
      <c r="CW3" s="111" t="str">
        <f ca="1">RESULTADOS!CA20</f>
        <v>Pasa</v>
      </c>
      <c r="CX3" s="111" t="str">
        <f ca="1">RESULTADOS!CB20</f>
        <v>N/A</v>
      </c>
      <c r="CY3" s="111" t="str">
        <f ca="1">RESULTADOS!CC20</f>
        <v>N/A</v>
      </c>
      <c r="CZ3" s="111" t="str">
        <f ca="1">RESULTADOS!CD20</f>
        <v>Falla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Falla</v>
      </c>
      <c r="DL3" s="111" t="str">
        <f ca="1">RESULTADOS!CP20</f>
        <v>Falla</v>
      </c>
      <c r="DM3" s="111" t="str">
        <f ca="1">RESULTADOS!CQ20</f>
        <v>Pasa</v>
      </c>
      <c r="DN3" s="111" t="str">
        <f ca="1">RESULTADOS!CR20</f>
        <v>Falla</v>
      </c>
      <c r="DO3" s="113">
        <f>RESULTADOS!B61</f>
        <v>8</v>
      </c>
      <c r="DP3" s="113" t="str">
        <f>RESULTADOS!C61</f>
        <v>Inicio/Descargar boletin completo</v>
      </c>
      <c r="DQ3" s="113" t="str">
        <f>IF(DO3&lt;&gt;"","Documento no web","")</f>
        <v>Documento no web</v>
      </c>
      <c r="DR3" s="113" t="str" cm="1">
        <f t="array" ref="DR3">IFERROR(INDEX('03.Muestra'!$E$8:$E$42,SMALL(IF("Documento no web"='03.Muestra'!$D$8:$D$42,ROW('03.Muestra'!$E$8:$E$42)-MIN(ROW('03.Muestra'!$D$8:$D$42))+1,""),ROW()-2)),"")</f>
        <v>Documento descargable</v>
      </c>
      <c r="DS3" s="113" t="str">
        <f>RESULTADOS!D61</f>
        <v>https://www.bocm.es/boletin/CM_Boletin_BOCM/2024/01/10/00800.PDF</v>
      </c>
      <c r="DT3" s="113" t="str" cm="1">
        <f t="array" ref="DT3">IFERROR(INDEX('03.Muestra'!$G$8:$G$42,SMALL(IF("Documento no web"='03.Muestra'!$D$8:$D$42,ROW('03.Muestra'!$G$8:$G$42)-MIN(ROW('03.Muestra'!$D$8:$D$42))+1,""),ROW()-2)),"")</f>
        <v>Inicio/Descargar boletin completo</v>
      </c>
      <c r="DU3" s="188" cm="1">
        <f t="array" ref="DU3">IFERROR(INDEX('03.Muestra'!$H$8:$H$42,SMALL(IF("Documento no web"='03.Muestra'!$D$8:$D$42,ROW('03.Muestra'!$H$8:$H$42)-MIN(ROW('03.Muestra'!$D$8:$D$42))+1,""),ROW()-2)),"")</f>
        <v>0</v>
      </c>
      <c r="DV3" s="111" t="str">
        <f ca="1">RESULTADOS!E61</f>
        <v>Pasa</v>
      </c>
      <c r="DW3" s="111" t="str">
        <f ca="1">RESULTADOS!F61</f>
        <v>N/A</v>
      </c>
      <c r="DX3" s="111" t="str">
        <f ca="1">RESULTADOS!G61</f>
        <v>N/A</v>
      </c>
      <c r="DY3" s="111" t="str">
        <f ca="1">RESULTADOS!H61</f>
        <v>N/A</v>
      </c>
      <c r="DZ3" s="111" t="str">
        <f ca="1">RESULTADOS!I61</f>
        <v>N/A</v>
      </c>
      <c r="EA3" s="111" t="str">
        <f ca="1">RESULTADOS!J61</f>
        <v>N/A</v>
      </c>
      <c r="EB3" s="111" t="str">
        <f ca="1">RESULTADOS!K61</f>
        <v>N/A</v>
      </c>
      <c r="EC3" s="111" t="str">
        <f ca="1">RESULTADOS!L61</f>
        <v>N/A</v>
      </c>
      <c r="ED3" s="111" t="str">
        <f ca="1">RESULTADOS!M61</f>
        <v>N/A</v>
      </c>
      <c r="EE3" s="111" t="str">
        <f ca="1">RESULTADOS!N61</f>
        <v>N/A</v>
      </c>
      <c r="EF3" s="111" t="str">
        <f ca="1">RESULTADOS!O61</f>
        <v>N/A</v>
      </c>
      <c r="EG3" s="111" t="str">
        <f ca="1">RESULTADOS!P61</f>
        <v>N/A</v>
      </c>
      <c r="EH3" s="111" t="str">
        <f ca="1">RESULTADOS!Q61</f>
        <v>Pasa</v>
      </c>
      <c r="EI3" s="111" t="str">
        <f ca="1">RESULTADOS!R61</f>
        <v>N/A</v>
      </c>
      <c r="EJ3" s="111" t="str">
        <f ca="1">RESULTADOS!S61</f>
        <v>N/A</v>
      </c>
      <c r="EK3" s="111" t="str">
        <f ca="1">RESULTADOS!T61</f>
        <v>N/A</v>
      </c>
      <c r="EL3" s="111" t="str">
        <f ca="1">RESULTADOS!U61</f>
        <v>N/A</v>
      </c>
      <c r="EM3" s="111" t="str">
        <f ca="1">RESULTADOS!V61</f>
        <v>N/A</v>
      </c>
      <c r="EN3" s="111" t="str">
        <f ca="1">RESULTADOS!W61</f>
        <v>N/A</v>
      </c>
      <c r="EO3" s="111" t="str">
        <f ca="1">RESULTADOS!X61</f>
        <v>Pasa</v>
      </c>
      <c r="EP3" s="111" t="str">
        <f ca="1">RESULTADOS!Y61</f>
        <v>N/A</v>
      </c>
      <c r="EQ3" s="111" t="str">
        <f ca="1">RESULTADOS!Z61</f>
        <v>N/A</v>
      </c>
      <c r="ER3" s="111" t="str">
        <f ca="1">RESULTADOS!AA61</f>
        <v>N/A</v>
      </c>
      <c r="ES3" s="111" t="str">
        <f ca="1">RESULTADOS!AB61</f>
        <v>N/A</v>
      </c>
      <c r="ET3" s="111" t="str">
        <f ca="1">RESULTADOS!AC61</f>
        <v>N/A</v>
      </c>
      <c r="EU3" s="111" t="str">
        <f ca="1">RESULTADOS!AD61</f>
        <v>Pasa</v>
      </c>
      <c r="EV3" s="111" t="str">
        <f ca="1">RESULTADOS!AE61</f>
        <v>Pasa</v>
      </c>
      <c r="EW3" s="111" t="str">
        <f ca="1">RESULTADOS!AF61</f>
        <v>Pasa</v>
      </c>
      <c r="EX3" s="111" t="str">
        <f ca="1">RESULTADOS!AG61</f>
        <v>N/A</v>
      </c>
      <c r="EY3" s="111" t="str">
        <f ca="1">RESULTADOS!AH61</f>
        <v>N/A</v>
      </c>
      <c r="EZ3" s="111" t="str">
        <f ca="1">RESULTADOS!AI61</f>
        <v>N/A</v>
      </c>
      <c r="FA3" s="111" t="str">
        <f ca="1">RESULTADOS!AJ61</f>
        <v>N/A</v>
      </c>
      <c r="FB3" s="111" t="str">
        <f ca="1">RESULTADOS!AK61</f>
        <v>N/A</v>
      </c>
      <c r="FC3" s="111" t="str">
        <f ca="1">RESULTADOS!AL61</f>
        <v>N/A</v>
      </c>
      <c r="FD3" s="111" t="str">
        <f ca="1">RESULTADOS!AM61</f>
        <v>Pasa</v>
      </c>
      <c r="FE3" s="111" t="str">
        <f ca="1">RESULTADOS!AN61</f>
        <v>N/A</v>
      </c>
      <c r="FF3" s="111" t="str">
        <f ca="1">RESULTADOS!AO61</f>
        <v>Pasa</v>
      </c>
      <c r="FG3" s="111" t="str">
        <f ca="1">RESULTADOS!AP61</f>
        <v>N/A</v>
      </c>
      <c r="FH3" s="111" t="str">
        <f ca="1">RESULTADOS!AQ61</f>
        <v>N/A</v>
      </c>
      <c r="FI3" s="111" t="str">
        <f ca="1">RESULTADOS!AR61</f>
        <v>N/A</v>
      </c>
      <c r="FJ3" s="111" t="str">
        <f ca="1">RESULTADOS!AS61</f>
        <v>N/A</v>
      </c>
      <c r="FK3" s="111" t="str">
        <f ca="1">RESULTADOS!AT61</f>
        <v>N/A</v>
      </c>
      <c r="FL3" s="111" t="str">
        <f ca="1">RESULTADOS!AU61</f>
        <v>N/A</v>
      </c>
      <c r="FM3" s="111" t="str">
        <f ca="1">RESULTADOS!AV61</f>
        <v>N/A</v>
      </c>
      <c r="FN3" s="111" t="str">
        <f ca="1">RESULTADOS!AW61</f>
        <v>N/A</v>
      </c>
    </row>
    <row r="4" spans="1:170" ht="13">
      <c r="C4" s="109" t="s">
        <v>16</v>
      </c>
      <c r="D4" s="112">
        <f>'01.Definición de ámbito'!C11</f>
        <v>0</v>
      </c>
      <c r="E4" s="109" t="s">
        <v>59</v>
      </c>
      <c r="F4" s="112" t="str">
        <f>'02.Tecnologías'!C11</f>
        <v>No</v>
      </c>
      <c r="G4" s="112">
        <f>'02.Tecnologías'!K14</f>
        <v>0</v>
      </c>
      <c r="H4" s="112">
        <f>'02.Tecnologías'!L14</f>
        <v>0</v>
      </c>
      <c r="I4" s="162"/>
      <c r="J4" s="162"/>
      <c r="K4" s="118" t="s">
        <v>469</v>
      </c>
      <c r="L4" s="163">
        <f>'03.Muestra'!D49</f>
        <v>0</v>
      </c>
      <c r="M4" s="109"/>
      <c r="T4" s="113">
        <f>RESULTADOS!B21</f>
        <v>2</v>
      </c>
      <c r="U4" s="113" t="str">
        <f>RESULTADOS!C21</f>
        <v>Inicio/ultimo-bocm</v>
      </c>
      <c r="V4" s="113" t="str">
        <f t="shared" ref="V4:V37" si="0">IF(T4&lt;&gt;"","Página web","")</f>
        <v>Página web</v>
      </c>
      <c r="W4" s="113" t="str">
        <v>Pagina tipo</v>
      </c>
      <c r="X4" s="113" t="str">
        <f>RESULTADOS!D21</f>
        <v>https://www.bocm.es/ultimo-bocm</v>
      </c>
      <c r="Y4" s="113" t="str">
        <v>Inicio/ultimo-bocm</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Pasa</v>
      </c>
      <c r="BN4" s="111" t="str">
        <f ca="1">RESULTADOS!AR21</f>
        <v>N/A</v>
      </c>
      <c r="BO4" s="111" t="str">
        <f ca="1">RESULTADOS!AS21</f>
        <v>Pasa</v>
      </c>
      <c r="BP4" s="111" t="str">
        <f ca="1">RESULTADOS!AT21</f>
        <v>Pasa</v>
      </c>
      <c r="BQ4" s="111" t="str">
        <f ca="1">RESULTADOS!AU21</f>
        <v>N/A</v>
      </c>
      <c r="BR4" s="111" t="str">
        <f ca="1">RESULTADOS!AV21</f>
        <v>Pasa</v>
      </c>
      <c r="BS4" s="111" t="str">
        <f ca="1">RESULTADOS!AW21</f>
        <v>Pasa</v>
      </c>
      <c r="BT4" s="111" t="str">
        <f ca="1">RESULTADOS!AX21</f>
        <v>N/A</v>
      </c>
      <c r="BU4" s="111" t="str">
        <f ca="1">RESULTADOS!AY21</f>
        <v>Pasa</v>
      </c>
      <c r="BV4" s="111" t="str">
        <f ca="1">RESULTADOS!AZ21</f>
        <v>Pasa</v>
      </c>
      <c r="BW4" s="111" t="str">
        <f ca="1">RESULTADOS!BA21</f>
        <v>Pasa</v>
      </c>
      <c r="BX4" s="111" t="str">
        <f ca="1">RESULTADOS!BB21</f>
        <v>N/A</v>
      </c>
      <c r="BY4" s="111" t="str">
        <f ca="1">RESULTADOS!BC21</f>
        <v>Falla</v>
      </c>
      <c r="BZ4" s="111" t="str">
        <f ca="1">RESULTADOS!BD21</f>
        <v>Falla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Pasa</v>
      </c>
      <c r="CK4" s="111" t="str">
        <f ca="1">RESULTADOS!BO21</f>
        <v>Falla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N/A</v>
      </c>
      <c r="CU4" s="111" t="str">
        <f ca="1">RESULTADOS!BY21</f>
        <v>N/A</v>
      </c>
      <c r="CV4" s="111" t="str">
        <f ca="1">RESULTADOS!BZ21</f>
        <v>N/A</v>
      </c>
      <c r="CW4" s="111" t="str">
        <f ca="1">RESULTADOS!CA21</f>
        <v>N/A</v>
      </c>
      <c r="CX4" s="111" t="str">
        <f ca="1">RESULTADOS!CB21</f>
        <v>N/A</v>
      </c>
      <c r="CY4" s="111" t="str">
        <f ca="1">RESULTADOS!CC21</f>
        <v>N/A</v>
      </c>
      <c r="CZ4" s="111" t="str">
        <f ca="1">RESULTADOS!CD21</f>
        <v>Falla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Falla</v>
      </c>
      <c r="DL4" s="111" t="str">
        <f ca="1">RESULTADOS!CP21</f>
        <v>Falla</v>
      </c>
      <c r="DM4" s="111" t="str">
        <f ca="1">RESULTADOS!CQ21</f>
        <v>Pasa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NO</v>
      </c>
      <c r="M5" s="109"/>
      <c r="T5" s="113">
        <f>RESULTADOS!B22</f>
        <v>3</v>
      </c>
      <c r="U5" s="113" t="str">
        <f>RESULTADOS!C22</f>
        <v>Inicio/autentificacion-verificacion</v>
      </c>
      <c r="V5" s="113" t="str">
        <f t="shared" si="0"/>
        <v>Página web</v>
      </c>
      <c r="W5" s="113" t="str">
        <v>Pagina tipo</v>
      </c>
      <c r="X5" s="113" t="str">
        <f>RESULTADOS!D22</f>
        <v>https://www.bocm.es/autentificacion-verificacion</v>
      </c>
      <c r="Y5" s="113" t="str">
        <v>Inicio/autentificacion-verificacion</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Pasa</v>
      </c>
      <c r="BN5" s="111" t="str">
        <f ca="1">RESULTADOS!AR22</f>
        <v>N/A</v>
      </c>
      <c r="BO5" s="111" t="str">
        <f ca="1">RESULTADOS!AS22</f>
        <v>Pasa</v>
      </c>
      <c r="BP5" s="111" t="str">
        <f ca="1">RESULTADOS!AT22</f>
        <v>Pasa</v>
      </c>
      <c r="BQ5" s="111" t="str">
        <f ca="1">RESULTADOS!AU22</f>
        <v>N/A</v>
      </c>
      <c r="BR5" s="111" t="str">
        <f ca="1">RESULTADOS!AV22</f>
        <v>Falla</v>
      </c>
      <c r="BS5" s="111" t="str">
        <f ca="1">RESULTADOS!AW22</f>
        <v>Pasa</v>
      </c>
      <c r="BT5" s="111" t="str">
        <f ca="1">RESULTADOS!AX22</f>
        <v>N/A</v>
      </c>
      <c r="BU5" s="111" t="str">
        <f ca="1">RESULTADOS!AY22</f>
        <v>Pasa</v>
      </c>
      <c r="BV5" s="111" t="str">
        <f ca="1">RESULTADOS!AZ22</f>
        <v>Pasa</v>
      </c>
      <c r="BW5" s="111" t="str">
        <f ca="1">RESULTADOS!BA22</f>
        <v>Pasa</v>
      </c>
      <c r="BX5" s="111" t="str">
        <f ca="1">RESULTADOS!BB22</f>
        <v>N/A</v>
      </c>
      <c r="BY5" s="111" t="str">
        <f ca="1">RESULTADOS!BC22</f>
        <v>Falla</v>
      </c>
      <c r="BZ5" s="111" t="str">
        <f ca="1">RESULTADOS!BD22</f>
        <v>Falla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Pasa</v>
      </c>
      <c r="CK5" s="111" t="str">
        <f ca="1">RESULTADOS!BO22</f>
        <v>Falla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N/A</v>
      </c>
      <c r="CU5" s="111" t="str">
        <f ca="1">RESULTADOS!BY22</f>
        <v>N/A</v>
      </c>
      <c r="CV5" s="111" t="str">
        <f ca="1">RESULTADOS!BZ22</f>
        <v>N/A</v>
      </c>
      <c r="CW5" s="111" t="str">
        <f ca="1">RESULTADOS!CA22</f>
        <v>N/A</v>
      </c>
      <c r="CX5" s="111" t="str">
        <f ca="1">RESULTADOS!CB22</f>
        <v>N/A</v>
      </c>
      <c r="CY5" s="111" t="str">
        <f ca="1">RESULTADOS!CC22</f>
        <v>N/A</v>
      </c>
      <c r="CZ5" s="111" t="str">
        <f ca="1">RESULTADOS!CD22</f>
        <v>Falla</v>
      </c>
      <c r="DA5" s="111" t="str">
        <f ca="1">RESULTADOS!CE22</f>
        <v>Falla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Falla</v>
      </c>
      <c r="DL5" s="111" t="str">
        <f ca="1">RESULTADOS!CP22</f>
        <v>Falla</v>
      </c>
      <c r="DM5" s="111" t="str">
        <f ca="1">RESULTADOS!CQ22</f>
        <v>Pasa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Inicio/que-es-bocm</v>
      </c>
      <c r="V6" s="113" t="str">
        <f t="shared" si="0"/>
        <v>Página web</v>
      </c>
      <c r="W6" s="113" t="str">
        <v>Pagina tipo</v>
      </c>
      <c r="X6" s="113" t="str">
        <f>RESULTADOS!D23</f>
        <v>https://www.bocm.es/que-es-bocm</v>
      </c>
      <c r="Y6" s="113" t="str">
        <v>Inicio/que-es-bocm</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Pasa</v>
      </c>
      <c r="BN6" s="111" t="str">
        <f ca="1">RESULTADOS!AR23</f>
        <v>N/A</v>
      </c>
      <c r="BO6" s="111" t="str">
        <f ca="1">RESULTADOS!AS23</f>
        <v>Pasa</v>
      </c>
      <c r="BP6" s="111" t="str">
        <f ca="1">RESULTADOS!AT23</f>
        <v>Pasa</v>
      </c>
      <c r="BQ6" s="111" t="str">
        <f ca="1">RESULTADOS!AU23</f>
        <v>N/A</v>
      </c>
      <c r="BR6" s="111" t="str">
        <f ca="1">RESULTADOS!AV23</f>
        <v>Falla</v>
      </c>
      <c r="BS6" s="111" t="str">
        <f ca="1">RESULTADOS!AW23</f>
        <v>Pasa</v>
      </c>
      <c r="BT6" s="111" t="str">
        <f ca="1">RESULTADOS!AX23</f>
        <v>N/A</v>
      </c>
      <c r="BU6" s="111" t="str">
        <f ca="1">RESULTADOS!AY23</f>
        <v>Pasa</v>
      </c>
      <c r="BV6" s="111" t="str">
        <f ca="1">RESULTADOS!AZ23</f>
        <v>Pasa</v>
      </c>
      <c r="BW6" s="111" t="str">
        <f ca="1">RESULTADOS!BA23</f>
        <v>Pasa</v>
      </c>
      <c r="BX6" s="111" t="str">
        <f ca="1">RESULTADOS!BB23</f>
        <v>N/A</v>
      </c>
      <c r="BY6" s="111" t="str">
        <f ca="1">RESULTADOS!BC23</f>
        <v>Falla</v>
      </c>
      <c r="BZ6" s="111" t="str">
        <f ca="1">RESULTADOS!BD23</f>
        <v>Falla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Pasa</v>
      </c>
      <c r="CI6" s="111" t="str">
        <f ca="1">RESULTADOS!BM23</f>
        <v>Pasa</v>
      </c>
      <c r="CJ6" s="111" t="str">
        <f ca="1">RESULTADOS!BN23</f>
        <v>Pasa</v>
      </c>
      <c r="CK6" s="111" t="str">
        <f ca="1">RESULTADOS!BO23</f>
        <v>Falla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N/A</v>
      </c>
      <c r="CU6" s="111" t="str">
        <f ca="1">RESULTADOS!BY23</f>
        <v>N/A</v>
      </c>
      <c r="CV6" s="111" t="str">
        <f ca="1">RESULTADOS!BZ23</f>
        <v>N/A</v>
      </c>
      <c r="CW6" s="111" t="str">
        <f ca="1">RESULTADOS!CA23</f>
        <v>N/A</v>
      </c>
      <c r="CX6" s="111" t="str">
        <f ca="1">RESULTADOS!CB23</f>
        <v>N/A</v>
      </c>
      <c r="CY6" s="111" t="str">
        <f ca="1">RESULTADOS!CC23</f>
        <v>N/A</v>
      </c>
      <c r="CZ6" s="111" t="str">
        <f ca="1">RESULTADOS!CD23</f>
        <v>Falla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Falla</v>
      </c>
      <c r="DL6" s="111" t="str">
        <f ca="1">RESULTADOS!CP23</f>
        <v>Falla</v>
      </c>
      <c r="DM6" s="111" t="str">
        <f ca="1">RESULTADOS!CQ23</f>
        <v>Pasa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Inicio/organismo-autonomo</v>
      </c>
      <c r="V7" s="113" t="str">
        <f t="shared" si="0"/>
        <v>Página web</v>
      </c>
      <c r="W7" s="113" t="str">
        <v>Pagina tipo</v>
      </c>
      <c r="X7" s="113" t="str">
        <f>RESULTADOS!D24</f>
        <v>https://www.bocm.es/organismo-autonomo</v>
      </c>
      <c r="Y7" s="113" t="str">
        <v>Inicio/organismo-autonomo</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Pasa</v>
      </c>
      <c r="BN7" s="111" t="str">
        <f ca="1">RESULTADOS!AR24</f>
        <v>N/A</v>
      </c>
      <c r="BO7" s="111" t="str">
        <f ca="1">RESULTADOS!AS24</f>
        <v>Pasa</v>
      </c>
      <c r="BP7" s="111" t="str">
        <f ca="1">RESULTADOS!AT24</f>
        <v>Pasa</v>
      </c>
      <c r="BQ7" s="111" t="str">
        <f ca="1">RESULTADOS!AU24</f>
        <v>N/A</v>
      </c>
      <c r="BR7" s="111" t="str">
        <f ca="1">RESULTADOS!AV24</f>
        <v>Falla</v>
      </c>
      <c r="BS7" s="111" t="str">
        <f ca="1">RESULTADOS!AW24</f>
        <v>Pasa</v>
      </c>
      <c r="BT7" s="111" t="str">
        <f ca="1">RESULTADOS!AX24</f>
        <v>N/A</v>
      </c>
      <c r="BU7" s="111" t="str">
        <f ca="1">RESULTADOS!AY24</f>
        <v>Pasa</v>
      </c>
      <c r="BV7" s="111" t="str">
        <f ca="1">RESULTADOS!AZ24</f>
        <v>Pasa</v>
      </c>
      <c r="BW7" s="111" t="str">
        <f ca="1">RESULTADOS!BA24</f>
        <v>Pasa</v>
      </c>
      <c r="BX7" s="111" t="str">
        <f ca="1">RESULTADOS!BB24</f>
        <v>N/A</v>
      </c>
      <c r="BY7" s="111" t="str">
        <f ca="1">RESULTADOS!BC24</f>
        <v>Falla</v>
      </c>
      <c r="BZ7" s="111" t="str">
        <f ca="1">RESULTADOS!BD24</f>
        <v>Falla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Pasa</v>
      </c>
      <c r="CI7" s="111" t="str">
        <f ca="1">RESULTADOS!BM24</f>
        <v>Pasa</v>
      </c>
      <c r="CJ7" s="111" t="str">
        <f ca="1">RESULTADOS!BN24</f>
        <v>Pasa</v>
      </c>
      <c r="CK7" s="111" t="str">
        <f ca="1">RESULTADOS!BO24</f>
        <v>Falla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N/A</v>
      </c>
      <c r="CU7" s="111" t="str">
        <f ca="1">RESULTADOS!BY24</f>
        <v>N/A</v>
      </c>
      <c r="CV7" s="111" t="str">
        <f ca="1">RESULTADOS!BZ24</f>
        <v>N/A</v>
      </c>
      <c r="CW7" s="111" t="str">
        <f ca="1">RESULTADOS!CA24</f>
        <v>N/A</v>
      </c>
      <c r="CX7" s="111" t="str">
        <f ca="1">RESULTADOS!CB24</f>
        <v>N/A</v>
      </c>
      <c r="CY7" s="111" t="str">
        <f ca="1">RESULTADOS!CC24</f>
        <v>N/A</v>
      </c>
      <c r="CZ7" s="111" t="str">
        <f ca="1">RESULTADOS!CD24</f>
        <v>Falla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Falla</v>
      </c>
      <c r="DL7" s="111" t="str">
        <f ca="1">RESULTADOS!CP24</f>
        <v>Falla</v>
      </c>
      <c r="DM7" s="111" t="str">
        <f ca="1">RESULTADOS!CQ24</f>
        <v>Pasa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Inicio/s/publicar-anuncio</v>
      </c>
      <c r="V8" s="113" t="str">
        <f t="shared" si="0"/>
        <v>Página web</v>
      </c>
      <c r="W8" s="113" t="str">
        <v>Pagina tipo</v>
      </c>
      <c r="X8" s="113" t="str">
        <f>RESULTADOS!D25</f>
        <v>https://www.bocm.es/publicar-anuncio</v>
      </c>
      <c r="Y8" s="113" t="str">
        <v>Inicio/s/publicar-anuncio</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Pasa</v>
      </c>
      <c r="BN8" s="111" t="str">
        <f ca="1">RESULTADOS!AR25</f>
        <v>N/A</v>
      </c>
      <c r="BO8" s="111" t="str">
        <f ca="1">RESULTADOS!AS25</f>
        <v>Pasa</v>
      </c>
      <c r="BP8" s="111" t="str">
        <f ca="1">RESULTADOS!AT25</f>
        <v>Pasa</v>
      </c>
      <c r="BQ8" s="111" t="str">
        <f ca="1">RESULTADOS!AU25</f>
        <v>N/A</v>
      </c>
      <c r="BR8" s="111" t="str">
        <f ca="1">RESULTADOS!AV25</f>
        <v>Falla</v>
      </c>
      <c r="BS8" s="111" t="str">
        <f ca="1">RESULTADOS!AW25</f>
        <v>Pasa</v>
      </c>
      <c r="BT8" s="111" t="str">
        <f ca="1">RESULTADOS!AX25</f>
        <v>N/A</v>
      </c>
      <c r="BU8" s="111" t="str">
        <f ca="1">RESULTADOS!AY25</f>
        <v>Pasa</v>
      </c>
      <c r="BV8" s="111" t="str">
        <f ca="1">RESULTADOS!AZ25</f>
        <v>Pasa</v>
      </c>
      <c r="BW8" s="111" t="str">
        <f ca="1">RESULTADOS!BA25</f>
        <v>Pasa</v>
      </c>
      <c r="BX8" s="111" t="str">
        <f ca="1">RESULTADOS!BB25</f>
        <v>N/A</v>
      </c>
      <c r="BY8" s="111" t="str">
        <f ca="1">RESULTADOS!BC25</f>
        <v>Falla</v>
      </c>
      <c r="BZ8" s="111" t="str">
        <f ca="1">RESULTADOS!BD25</f>
        <v>Falla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Pasa</v>
      </c>
      <c r="CK8" s="111" t="str">
        <f ca="1">RESULTADOS!BO25</f>
        <v>Falla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N/A</v>
      </c>
      <c r="CU8" s="111" t="str">
        <f ca="1">RESULTADOS!BY25</f>
        <v>N/A</v>
      </c>
      <c r="CV8" s="111" t="str">
        <f ca="1">RESULTADOS!BZ25</f>
        <v>N/A</v>
      </c>
      <c r="CW8" s="111" t="str">
        <f ca="1">RESULTADOS!CA25</f>
        <v>N/A</v>
      </c>
      <c r="CX8" s="111" t="str">
        <f ca="1">RESULTADOS!CB25</f>
        <v>N/A</v>
      </c>
      <c r="CY8" s="111" t="str">
        <f ca="1">RESULTADOS!CC25</f>
        <v>N/A</v>
      </c>
      <c r="CZ8" s="111" t="str">
        <f ca="1">RESULTADOS!CD25</f>
        <v>Falla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Falla</v>
      </c>
      <c r="DL8" s="111" t="str">
        <f ca="1">RESULTADOS!CP25</f>
        <v>Falla</v>
      </c>
      <c r="DM8" s="111" t="str">
        <f ca="1">RESULTADOS!CQ25</f>
        <v>Pasa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Sedes electrónicas y servicios electrónicos</v>
      </c>
      <c r="E9" s="109" t="s">
        <v>60</v>
      </c>
      <c r="F9" s="112" t="str">
        <f>'02.Tecnologías'!F11</f>
        <v>No</v>
      </c>
      <c r="G9" s="112">
        <f>'02.Tecnologías'!K19</f>
        <v>0</v>
      </c>
      <c r="H9" s="112">
        <f>'02.Tecnologías'!L19</f>
        <v>0</v>
      </c>
      <c r="I9" s="162"/>
      <c r="J9" s="162"/>
      <c r="K9" s="109"/>
      <c r="L9" s="109"/>
      <c r="M9" s="109"/>
      <c r="T9" s="113">
        <f>RESULTADOS!B26</f>
        <v>7</v>
      </c>
      <c r="U9" s="113" t="str">
        <f>RESULTADOS!C26</f>
        <v>Inicio/declaracion-de-accesibilidad</v>
      </c>
      <c r="V9" s="113" t="str">
        <f t="shared" si="0"/>
        <v>Página web</v>
      </c>
      <c r="W9" s="113" t="str">
        <v>Declaración accesibilidad</v>
      </c>
      <c r="X9" s="113" t="str">
        <f>RESULTADOS!D26</f>
        <v>https://www.bocm.es/declaracion-de-accesibilidad</v>
      </c>
      <c r="Y9" s="113" t="str">
        <v>Inicio/declaracion-de-accesibilidad</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Pasa</v>
      </c>
      <c r="BN9" s="111" t="str">
        <f ca="1">RESULTADOS!AR26</f>
        <v>N/A</v>
      </c>
      <c r="BO9" s="111" t="str">
        <f ca="1">RESULTADOS!AS26</f>
        <v>Pasa</v>
      </c>
      <c r="BP9" s="111" t="str">
        <f ca="1">RESULTADOS!AT26</f>
        <v>Pasa</v>
      </c>
      <c r="BQ9" s="111" t="str">
        <f ca="1">RESULTADOS!AU26</f>
        <v>N/A</v>
      </c>
      <c r="BR9" s="111" t="str">
        <f ca="1">RESULTADOS!AV26</f>
        <v>Pasa</v>
      </c>
      <c r="BS9" s="111" t="str">
        <f ca="1">RESULTADOS!AW26</f>
        <v>Pasa</v>
      </c>
      <c r="BT9" s="111" t="str">
        <f ca="1">RESULTADOS!AX26</f>
        <v>N/A</v>
      </c>
      <c r="BU9" s="111" t="str">
        <f ca="1">RESULTADOS!AY26</f>
        <v>Pasa</v>
      </c>
      <c r="BV9" s="111" t="str">
        <f ca="1">RESULTADOS!AZ26</f>
        <v>Pasa</v>
      </c>
      <c r="BW9" s="111" t="str">
        <f ca="1">RESULTADOS!BA26</f>
        <v>Pasa</v>
      </c>
      <c r="BX9" s="111" t="str">
        <f ca="1">RESULTADOS!BB26</f>
        <v>N/A</v>
      </c>
      <c r="BY9" s="111" t="str">
        <f ca="1">RESULTADOS!BC26</f>
        <v>Falla</v>
      </c>
      <c r="BZ9" s="111" t="str">
        <f ca="1">RESULTADOS!BD26</f>
        <v>Falla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Pasa</v>
      </c>
      <c r="CK9" s="111" t="str">
        <f ca="1">RESULTADOS!BO26</f>
        <v>Falla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N/A</v>
      </c>
      <c r="CU9" s="111" t="str">
        <f ca="1">RESULTADOS!BY26</f>
        <v>N/A</v>
      </c>
      <c r="CV9" s="111" t="str">
        <f ca="1">RESULTADOS!BZ26</f>
        <v>N/A</v>
      </c>
      <c r="CW9" s="111" t="str">
        <f ca="1">RESULTADOS!CA26</f>
        <v>N/A</v>
      </c>
      <c r="CX9" s="111" t="str">
        <f ca="1">RESULTADOS!CB26</f>
        <v>N/A</v>
      </c>
      <c r="CY9" s="111" t="str">
        <f ca="1">RESULTADOS!CC26</f>
        <v>N/A</v>
      </c>
      <c r="CZ9" s="111" t="str">
        <f ca="1">RESULTADOS!CD26</f>
        <v>Falla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Falla</v>
      </c>
      <c r="DL9" s="111" t="str">
        <f ca="1">RESULTADOS!CP26</f>
        <v>Falla</v>
      </c>
      <c r="DM9" s="111" t="str">
        <f ca="1">RESULTADOS!CQ26</f>
        <v>Pasa</v>
      </c>
      <c r="DN9" s="111" t="str">
        <f ca="1">RESULTADOS!CR26</f>
        <v>Falla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Boletin Oficial Comunidad de Madrid</v>
      </c>
      <c r="E10" s="109" t="s">
        <v>63</v>
      </c>
      <c r="F10" s="112" t="str">
        <f>'02.Tecnologías'!F12</f>
        <v>No</v>
      </c>
      <c r="G10" s="112">
        <f>'02.Tecnologías'!K20</f>
        <v>0</v>
      </c>
      <c r="H10" s="112">
        <f>'02.Tecnologías'!L20</f>
        <v>0</v>
      </c>
      <c r="I10" s="162"/>
      <c r="J10" s="162"/>
      <c r="K10" s="109" t="s">
        <v>471</v>
      </c>
      <c r="L10" s="109"/>
      <c r="M10" s="109"/>
      <c r="T10" s="113" t="str">
        <f>RESULTADOS!B27</f>
        <v/>
      </c>
      <c r="U10" s="113" t="str">
        <f>RESULTADOS!C27</f>
        <v/>
      </c>
      <c r="V10" s="113" t="str">
        <f t="shared" si="0"/>
        <v/>
      </c>
      <c r="W10" s="113" t="str">
        <v/>
      </c>
      <c r="X10" s="113" t="str">
        <f>RESULTADOS!D27</f>
        <v/>
      </c>
      <c r="Y10" s="113" t="str">
        <v/>
      </c>
      <c r="Z10" s="188" t="str">
        <v/>
      </c>
      <c r="AA10" s="111" t="str">
        <f ca="1">RESULTADOS!E27</f>
        <v/>
      </c>
      <c r="AB10" s="111" t="str">
        <f ca="1">RESULTADOS!F27</f>
        <v/>
      </c>
      <c r="AC10" s="111" t="str">
        <f ca="1">RESULTADOS!G27</f>
        <v/>
      </c>
      <c r="AD10" s="111" t="str">
        <f ca="1">RESULTADOS!H27</f>
        <v/>
      </c>
      <c r="AE10" s="111" t="str">
        <f ca="1">RESULTADOS!I27</f>
        <v/>
      </c>
      <c r="AF10" s="111" t="str">
        <f ca="1">RESULTADOS!J27</f>
        <v/>
      </c>
      <c r="AG10" s="111" t="str">
        <f ca="1">RESULTADOS!K27</f>
        <v/>
      </c>
      <c r="AH10" s="111" t="str">
        <f ca="1">RESULTADOS!L27</f>
        <v/>
      </c>
      <c r="AI10" s="111" t="str">
        <f ca="1">RESULTADOS!M27</f>
        <v/>
      </c>
      <c r="AJ10" s="111" t="str">
        <f ca="1">RESULTADOS!N27</f>
        <v/>
      </c>
      <c r="AK10" s="111" t="str">
        <f ca="1">RESULTADOS!O27</f>
        <v/>
      </c>
      <c r="AL10" s="111" t="str">
        <f ca="1">RESULTADOS!P27</f>
        <v/>
      </c>
      <c r="AM10" s="111" t="str">
        <f ca="1">RESULTADOS!Q27</f>
        <v/>
      </c>
      <c r="AN10" s="111" t="str">
        <f ca="1">RESULTADOS!R27</f>
        <v/>
      </c>
      <c r="AO10" s="111" t="str">
        <f ca="1">RESULTADOS!S27</f>
        <v/>
      </c>
      <c r="AP10" s="111" t="str">
        <f ca="1">RESULTADOS!T27</f>
        <v/>
      </c>
      <c r="AQ10" s="111" t="str">
        <f ca="1">RESULTADOS!U27</f>
        <v/>
      </c>
      <c r="AR10" s="111" t="str">
        <f ca="1">RESULTADOS!V27</f>
        <v/>
      </c>
      <c r="AS10" s="111" t="str">
        <f ca="1">RESULTADOS!W27</f>
        <v/>
      </c>
      <c r="AT10" s="111" t="str">
        <f ca="1">RESULTADOS!X27</f>
        <v/>
      </c>
      <c r="AU10" s="111" t="str">
        <f ca="1">RESULTADOS!Y27</f>
        <v/>
      </c>
      <c r="AV10" s="111" t="str">
        <f ca="1">RESULTADOS!Z27</f>
        <v/>
      </c>
      <c r="AW10" s="111" t="str">
        <f ca="1">RESULTADOS!AA27</f>
        <v/>
      </c>
      <c r="AX10" s="111" t="str">
        <f ca="1">RESULTADOS!AB27</f>
        <v/>
      </c>
      <c r="AY10" s="111" t="str">
        <f ca="1">RESULTADOS!AC27</f>
        <v/>
      </c>
      <c r="AZ10" s="111" t="str">
        <f ca="1">RESULTADOS!AD27</f>
        <v/>
      </c>
      <c r="BA10" s="111" t="str">
        <f ca="1">RESULTADOS!AE27</f>
        <v/>
      </c>
      <c r="BB10" s="111" t="str">
        <f ca="1">RESULTADOS!AF27</f>
        <v/>
      </c>
      <c r="BC10" s="111" t="str">
        <f ca="1">RESULTADOS!AG27</f>
        <v/>
      </c>
      <c r="BD10" s="111" t="str">
        <f ca="1">RESULTADOS!AH27</f>
        <v/>
      </c>
      <c r="BE10" s="111" t="str">
        <f ca="1">RESULTADOS!AI27</f>
        <v/>
      </c>
      <c r="BF10" s="111" t="str">
        <f ca="1">RESULTADOS!AJ27</f>
        <v/>
      </c>
      <c r="BG10" s="111" t="str">
        <f ca="1">RESULTADOS!AK27</f>
        <v/>
      </c>
      <c r="BH10" s="111" t="str">
        <f ca="1">RESULTADOS!AL27</f>
        <v/>
      </c>
      <c r="BI10" s="111" t="str">
        <f ca="1">RESULTADOS!AM27</f>
        <v/>
      </c>
      <c r="BJ10" s="111" t="str">
        <f ca="1">RESULTADOS!AN27</f>
        <v/>
      </c>
      <c r="BK10" s="111" t="str">
        <f ca="1">RESULTADOS!AO27</f>
        <v/>
      </c>
      <c r="BL10" s="111" t="str">
        <f ca="1">RESULTADOS!AP27</f>
        <v/>
      </c>
      <c r="BM10" s="111" t="str">
        <f ca="1">RESULTADOS!AQ27</f>
        <v/>
      </c>
      <c r="BN10" s="111" t="str">
        <f ca="1">RESULTADOS!AR27</f>
        <v/>
      </c>
      <c r="BO10" s="111" t="str">
        <f ca="1">RESULTADOS!AS27</f>
        <v/>
      </c>
      <c r="BP10" s="111" t="str">
        <f ca="1">RESULTADOS!AT27</f>
        <v/>
      </c>
      <c r="BQ10" s="111" t="str">
        <f ca="1">RESULTADOS!AU27</f>
        <v/>
      </c>
      <c r="BR10" s="111" t="str">
        <f ca="1">RESULTADOS!AV27</f>
        <v/>
      </c>
      <c r="BS10" s="111" t="str">
        <f ca="1">RESULTADOS!AW27</f>
        <v/>
      </c>
      <c r="BT10" s="111" t="str">
        <f ca="1">RESULTADOS!AX27</f>
        <v/>
      </c>
      <c r="BU10" s="111" t="str">
        <f ca="1">RESULTADOS!AY27</f>
        <v/>
      </c>
      <c r="BV10" s="111" t="str">
        <f ca="1">RESULTADOS!AZ27</f>
        <v/>
      </c>
      <c r="BW10" s="111" t="str">
        <f ca="1">RESULTADOS!BA27</f>
        <v/>
      </c>
      <c r="BX10" s="111" t="str">
        <f ca="1">RESULTADOS!BB27</f>
        <v/>
      </c>
      <c r="BY10" s="111" t="str">
        <f ca="1">RESULTADOS!BC27</f>
        <v/>
      </c>
      <c r="BZ10" s="111" t="str">
        <f ca="1">RESULTADOS!BD27</f>
        <v/>
      </c>
      <c r="CA10" s="111" t="str">
        <f ca="1">RESULTADOS!BE27</f>
        <v/>
      </c>
      <c r="CB10" s="111" t="str">
        <f ca="1">RESULTADOS!BF27</f>
        <v/>
      </c>
      <c r="CC10" s="111" t="str">
        <f ca="1">RESULTADOS!BG27</f>
        <v/>
      </c>
      <c r="CD10" s="111" t="str">
        <f ca="1">RESULTADOS!BH27</f>
        <v/>
      </c>
      <c r="CE10" s="111" t="str">
        <f ca="1">RESULTADOS!BI27</f>
        <v/>
      </c>
      <c r="CF10" s="111" t="str">
        <f ca="1">RESULTADOS!BJ27</f>
        <v/>
      </c>
      <c r="CG10" s="111" t="str">
        <f ca="1">RESULTADOS!BK27</f>
        <v/>
      </c>
      <c r="CH10" s="111" t="str">
        <f ca="1">RESULTADOS!BL27</f>
        <v/>
      </c>
      <c r="CI10" s="111" t="str">
        <f ca="1">RESULTADOS!BM27</f>
        <v/>
      </c>
      <c r="CJ10" s="111" t="str">
        <f ca="1">RESULTADOS!BN27</f>
        <v/>
      </c>
      <c r="CK10" s="111" t="str">
        <f ca="1">RESULTADOS!BO27</f>
        <v/>
      </c>
      <c r="CL10" s="111" t="str">
        <f ca="1">RESULTADOS!BP27</f>
        <v/>
      </c>
      <c r="CM10" s="111" t="str">
        <f ca="1">RESULTADOS!BQ27</f>
        <v/>
      </c>
      <c r="CN10" s="111" t="str">
        <f ca="1">RESULTADOS!BR27</f>
        <v/>
      </c>
      <c r="CO10" s="111" t="str">
        <f ca="1">RESULTADOS!BS27</f>
        <v/>
      </c>
      <c r="CP10" s="111" t="str">
        <f ca="1">RESULTADOS!BT27</f>
        <v/>
      </c>
      <c r="CQ10" s="111" t="str">
        <f ca="1">RESULTADOS!BU27</f>
        <v/>
      </c>
      <c r="CR10" s="111" t="str">
        <f ca="1">RESULTADOS!BV27</f>
        <v/>
      </c>
      <c r="CS10" s="111" t="str">
        <f ca="1">RESULTADOS!BW27</f>
        <v/>
      </c>
      <c r="CT10" s="111" t="str">
        <f ca="1">RESULTADOS!BX27</f>
        <v/>
      </c>
      <c r="CU10" s="111" t="str">
        <f ca="1">RESULTADOS!BY27</f>
        <v/>
      </c>
      <c r="CV10" s="111" t="str">
        <f ca="1">RESULTADOS!BZ27</f>
        <v/>
      </c>
      <c r="CW10" s="111" t="str">
        <f ca="1">RESULTADOS!CA27</f>
        <v/>
      </c>
      <c r="CX10" s="111" t="str">
        <f ca="1">RESULTADOS!CB27</f>
        <v/>
      </c>
      <c r="CY10" s="111" t="str">
        <f ca="1">RESULTADOS!CC27</f>
        <v/>
      </c>
      <c r="CZ10" s="111" t="str">
        <f ca="1">RESULTADOS!CD27</f>
        <v/>
      </c>
      <c r="DA10" s="111" t="str">
        <f ca="1">RESULTADOS!CE27</f>
        <v/>
      </c>
      <c r="DB10" s="111" t="str">
        <f ca="1">RESULTADOS!CF27</f>
        <v/>
      </c>
      <c r="DC10" s="111" t="str">
        <f ca="1">RESULTADOS!CG27</f>
        <v/>
      </c>
      <c r="DD10" s="111" t="str">
        <f ca="1">RESULTADOS!CH27</f>
        <v/>
      </c>
      <c r="DE10" s="111" t="str">
        <f ca="1">RESULTADOS!CI27</f>
        <v/>
      </c>
      <c r="DF10" s="111" t="str">
        <f ca="1">RESULTADOS!CJ27</f>
        <v/>
      </c>
      <c r="DG10" s="111" t="str">
        <f ca="1">RESULTADOS!CK27</f>
        <v/>
      </c>
      <c r="DH10" s="111" t="str">
        <f ca="1">RESULTADOS!CL27</f>
        <v/>
      </c>
      <c r="DI10" s="111" t="str">
        <f ca="1">RESULTADOS!CM27</f>
        <v/>
      </c>
      <c r="DJ10" s="111" t="str">
        <f ca="1">RESULTADOS!CN27</f>
        <v/>
      </c>
      <c r="DK10" s="111" t="str">
        <f ca="1">RESULTADOS!CO27</f>
        <v/>
      </c>
      <c r="DL10" s="111" t="str">
        <f ca="1">RESULTADOS!CP27</f>
        <v/>
      </c>
      <c r="DM10" s="111" t="str">
        <f ca="1">RESULTADOS!CQ27</f>
        <v/>
      </c>
      <c r="DN10" s="111" t="str">
        <f ca="1">RESULTADOS!CR27</f>
        <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 xml:space="preserve">https://www.bocm.es/	</v>
      </c>
      <c r="E11" s="109" t="s">
        <v>68</v>
      </c>
      <c r="F11" s="112" t="str">
        <f>'02.Tecnologías'!F13</f>
        <v>No</v>
      </c>
      <c r="G11" s="112">
        <f>'02.Tecnologías'!K21</f>
        <v>0</v>
      </c>
      <c r="H11" s="112">
        <f>'02.Tecnologías'!L21</f>
        <v>0</v>
      </c>
      <c r="I11" s="162"/>
      <c r="J11" s="162"/>
      <c r="K11" s="109" t="s">
        <v>252</v>
      </c>
      <c r="L11" s="109"/>
      <c r="M11" s="109"/>
      <c r="N11" s="109"/>
      <c r="O11" s="109"/>
      <c r="P11" s="109"/>
      <c r="T11" s="113" t="str">
        <f>RESULTADOS!B28</f>
        <v/>
      </c>
      <c r="U11" s="113" t="str">
        <f>RESULTADOS!C28</f>
        <v/>
      </c>
      <c r="V11" s="113" t="str">
        <f t="shared" si="0"/>
        <v/>
      </c>
      <c r="W11" s="113" t="str">
        <v/>
      </c>
      <c r="X11" s="113" t="str">
        <f>RESULTADOS!D28</f>
        <v/>
      </c>
      <c r="Y11" s="113" t="str">
        <v/>
      </c>
      <c r="Z11" s="188" t="str">
        <v/>
      </c>
      <c r="AA11" s="111" t="str">
        <f ca="1">RESULTADOS!E28</f>
        <v/>
      </c>
      <c r="AB11" s="111" t="str">
        <f ca="1">RESULTADOS!F28</f>
        <v/>
      </c>
      <c r="AC11" s="111" t="str">
        <f ca="1">RESULTADOS!G28</f>
        <v/>
      </c>
      <c r="AD11" s="111" t="str">
        <f ca="1">RESULTADOS!H28</f>
        <v/>
      </c>
      <c r="AE11" s="111" t="str">
        <f ca="1">RESULTADOS!I28</f>
        <v/>
      </c>
      <c r="AF11" s="111" t="str">
        <f ca="1">RESULTADOS!J28</f>
        <v/>
      </c>
      <c r="AG11" s="111" t="str">
        <f ca="1">RESULTADOS!K28</f>
        <v/>
      </c>
      <c r="AH11" s="111" t="str">
        <f ca="1">RESULTADOS!L28</f>
        <v/>
      </c>
      <c r="AI11" s="111" t="str">
        <f ca="1">RESULTADOS!M28</f>
        <v/>
      </c>
      <c r="AJ11" s="111" t="str">
        <f ca="1">RESULTADOS!N28</f>
        <v/>
      </c>
      <c r="AK11" s="111" t="str">
        <f ca="1">RESULTADOS!O28</f>
        <v/>
      </c>
      <c r="AL11" s="111" t="str">
        <f ca="1">RESULTADOS!P28</f>
        <v/>
      </c>
      <c r="AM11" s="111" t="str">
        <f ca="1">RESULTADOS!Q28</f>
        <v/>
      </c>
      <c r="AN11" s="111" t="str">
        <f ca="1">RESULTADOS!R28</f>
        <v/>
      </c>
      <c r="AO11" s="111" t="str">
        <f ca="1">RESULTADOS!S28</f>
        <v/>
      </c>
      <c r="AP11" s="111" t="str">
        <f ca="1">RESULTADOS!T28</f>
        <v/>
      </c>
      <c r="AQ11" s="111" t="str">
        <f ca="1">RESULTADOS!U28</f>
        <v/>
      </c>
      <c r="AR11" s="111" t="str">
        <f ca="1">RESULTADOS!V28</f>
        <v/>
      </c>
      <c r="AS11" s="111" t="str">
        <f ca="1">RESULTADOS!W28</f>
        <v/>
      </c>
      <c r="AT11" s="111" t="str">
        <f ca="1">RESULTADOS!X28</f>
        <v/>
      </c>
      <c r="AU11" s="111" t="str">
        <f ca="1">RESULTADOS!Y28</f>
        <v/>
      </c>
      <c r="AV11" s="111" t="str">
        <f ca="1">RESULTADOS!Z28</f>
        <v/>
      </c>
      <c r="AW11" s="111" t="str">
        <f ca="1">RESULTADOS!AA28</f>
        <v/>
      </c>
      <c r="AX11" s="111" t="str">
        <f ca="1">RESULTADOS!AB28</f>
        <v/>
      </c>
      <c r="AY11" s="111" t="str">
        <f ca="1">RESULTADOS!AC28</f>
        <v/>
      </c>
      <c r="AZ11" s="111" t="str">
        <f ca="1">RESULTADOS!AD28</f>
        <v/>
      </c>
      <c r="BA11" s="111" t="str">
        <f ca="1">RESULTADOS!AE28</f>
        <v/>
      </c>
      <c r="BB11" s="111" t="str">
        <f ca="1">RESULTADOS!AF28</f>
        <v/>
      </c>
      <c r="BC11" s="111" t="str">
        <f ca="1">RESULTADOS!AG28</f>
        <v/>
      </c>
      <c r="BD11" s="111" t="str">
        <f ca="1">RESULTADOS!AH28</f>
        <v/>
      </c>
      <c r="BE11" s="111" t="str">
        <f ca="1">RESULTADOS!AI28</f>
        <v/>
      </c>
      <c r="BF11" s="111" t="str">
        <f ca="1">RESULTADOS!AJ28</f>
        <v/>
      </c>
      <c r="BG11" s="111" t="str">
        <f ca="1">RESULTADOS!AK28</f>
        <v/>
      </c>
      <c r="BH11" s="111" t="str">
        <f ca="1">RESULTADOS!AL28</f>
        <v/>
      </c>
      <c r="BI11" s="111" t="str">
        <f ca="1">RESULTADOS!AM28</f>
        <v/>
      </c>
      <c r="BJ11" s="111" t="str">
        <f ca="1">RESULTADOS!AN28</f>
        <v/>
      </c>
      <c r="BK11" s="111" t="str">
        <f ca="1">RESULTADOS!AO28</f>
        <v/>
      </c>
      <c r="BL11" s="111" t="str">
        <f ca="1">RESULTADOS!AP28</f>
        <v/>
      </c>
      <c r="BM11" s="111" t="str">
        <f ca="1">RESULTADOS!AQ28</f>
        <v/>
      </c>
      <c r="BN11" s="111" t="str">
        <f ca="1">RESULTADOS!AR28</f>
        <v/>
      </c>
      <c r="BO11" s="111" t="str">
        <f ca="1">RESULTADOS!AS28</f>
        <v/>
      </c>
      <c r="BP11" s="111" t="str">
        <f ca="1">RESULTADOS!AT28</f>
        <v/>
      </c>
      <c r="BQ11" s="111" t="str">
        <f ca="1">RESULTADOS!AU28</f>
        <v/>
      </c>
      <c r="BR11" s="111" t="str">
        <f ca="1">RESULTADOS!AV28</f>
        <v/>
      </c>
      <c r="BS11" s="111" t="str">
        <f ca="1">RESULTADOS!AW28</f>
        <v/>
      </c>
      <c r="BT11" s="111" t="str">
        <f ca="1">RESULTADOS!AX28</f>
        <v/>
      </c>
      <c r="BU11" s="111" t="str">
        <f ca="1">RESULTADOS!AY28</f>
        <v/>
      </c>
      <c r="BV11" s="111" t="str">
        <f ca="1">RESULTADOS!AZ28</f>
        <v/>
      </c>
      <c r="BW11" s="111" t="str">
        <f ca="1">RESULTADOS!BA28</f>
        <v/>
      </c>
      <c r="BX11" s="111" t="str">
        <f ca="1">RESULTADOS!BB28</f>
        <v/>
      </c>
      <c r="BY11" s="111" t="str">
        <f ca="1">RESULTADOS!BC28</f>
        <v/>
      </c>
      <c r="BZ11" s="111" t="str">
        <f ca="1">RESULTADOS!BD28</f>
        <v/>
      </c>
      <c r="CA11" s="111" t="str">
        <f ca="1">RESULTADOS!BE28</f>
        <v/>
      </c>
      <c r="CB11" s="111" t="str">
        <f ca="1">RESULTADOS!BF28</f>
        <v/>
      </c>
      <c r="CC11" s="111" t="str">
        <f ca="1">RESULTADOS!BG28</f>
        <v/>
      </c>
      <c r="CD11" s="111" t="str">
        <f ca="1">RESULTADOS!BH28</f>
        <v/>
      </c>
      <c r="CE11" s="111" t="str">
        <f ca="1">RESULTADOS!BI28</f>
        <v/>
      </c>
      <c r="CF11" s="111" t="str">
        <f ca="1">RESULTADOS!BJ28</f>
        <v/>
      </c>
      <c r="CG11" s="111" t="str">
        <f ca="1">RESULTADOS!BK28</f>
        <v/>
      </c>
      <c r="CH11" s="111" t="str">
        <f ca="1">RESULTADOS!BL28</f>
        <v/>
      </c>
      <c r="CI11" s="111" t="str">
        <f ca="1">RESULTADOS!BM28</f>
        <v/>
      </c>
      <c r="CJ11" s="111" t="str">
        <f ca="1">RESULTADOS!BN28</f>
        <v/>
      </c>
      <c r="CK11" s="111" t="str">
        <f ca="1">RESULTADOS!BO28</f>
        <v/>
      </c>
      <c r="CL11" s="111" t="str">
        <f ca="1">RESULTADOS!BP28</f>
        <v/>
      </c>
      <c r="CM11" s="111" t="str">
        <f ca="1">RESULTADOS!BQ28</f>
        <v/>
      </c>
      <c r="CN11" s="111" t="str">
        <f ca="1">RESULTADOS!BR28</f>
        <v/>
      </c>
      <c r="CO11" s="111" t="str">
        <f ca="1">RESULTADOS!BS28</f>
        <v/>
      </c>
      <c r="CP11" s="111" t="str">
        <f ca="1">RESULTADOS!BT28</f>
        <v/>
      </c>
      <c r="CQ11" s="111" t="str">
        <f ca="1">RESULTADOS!BU28</f>
        <v/>
      </c>
      <c r="CR11" s="111" t="str">
        <f ca="1">RESULTADOS!BV28</f>
        <v/>
      </c>
      <c r="CS11" s="111" t="str">
        <f ca="1">RESULTADOS!BW28</f>
        <v/>
      </c>
      <c r="CT11" s="111" t="str">
        <f ca="1">RESULTADOS!BX28</f>
        <v/>
      </c>
      <c r="CU11" s="111" t="str">
        <f ca="1">RESULTADOS!BY28</f>
        <v/>
      </c>
      <c r="CV11" s="111" t="str">
        <f ca="1">RESULTADOS!BZ28</f>
        <v/>
      </c>
      <c r="CW11" s="111" t="str">
        <f ca="1">RESULTADOS!CA28</f>
        <v/>
      </c>
      <c r="CX11" s="111" t="str">
        <f ca="1">RESULTADOS!CB28</f>
        <v/>
      </c>
      <c r="CY11" s="111" t="str">
        <f ca="1">RESULTADOS!CC28</f>
        <v/>
      </c>
      <c r="CZ11" s="111" t="str">
        <f ca="1">RESULTADOS!CD28</f>
        <v/>
      </c>
      <c r="DA11" s="111" t="str">
        <f ca="1">RESULTADOS!CE28</f>
        <v/>
      </c>
      <c r="DB11" s="111" t="str">
        <f ca="1">RESULTADOS!CF28</f>
        <v/>
      </c>
      <c r="DC11" s="111" t="str">
        <f ca="1">RESULTADOS!CG28</f>
        <v/>
      </c>
      <c r="DD11" s="111" t="str">
        <f ca="1">RESULTADOS!CH28</f>
        <v/>
      </c>
      <c r="DE11" s="111" t="str">
        <f ca="1">RESULTADOS!CI28</f>
        <v/>
      </c>
      <c r="DF11" s="111" t="str">
        <f ca="1">RESULTADOS!CJ28</f>
        <v/>
      </c>
      <c r="DG11" s="111" t="str">
        <f ca="1">RESULTADOS!CK28</f>
        <v/>
      </c>
      <c r="DH11" s="111" t="str">
        <f ca="1">RESULTADOS!CL28</f>
        <v/>
      </c>
      <c r="DI11" s="111" t="str">
        <f ca="1">RESULTADOS!CM28</f>
        <v/>
      </c>
      <c r="DJ11" s="111" t="str">
        <f ca="1">RESULTADOS!CN28</f>
        <v/>
      </c>
      <c r="DK11" s="111" t="str">
        <f ca="1">RESULTADOS!CO28</f>
        <v/>
      </c>
      <c r="DL11" s="111" t="str">
        <f ca="1">RESULTADOS!CP28</f>
        <v/>
      </c>
      <c r="DM11" s="111" t="str">
        <f ca="1">RESULTADOS!CQ28</f>
        <v/>
      </c>
      <c r="DN11" s="111" t="str">
        <f ca="1">RESULTADOS!CR28</f>
        <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t="str">
        <f>RESULTADOS!B29</f>
        <v/>
      </c>
      <c r="U12" s="113" t="str">
        <f>RESULTADOS!C29</f>
        <v/>
      </c>
      <c r="V12" s="113" t="str">
        <f t="shared" si="0"/>
        <v/>
      </c>
      <c r="W12" s="113" t="str">
        <v/>
      </c>
      <c r="X12" s="113" t="str">
        <f>RESULTADOS!D29</f>
        <v/>
      </c>
      <c r="Y12" s="113" t="str">
        <v/>
      </c>
      <c r="Z12" s="188" t="str">
        <v/>
      </c>
      <c r="AA12" s="111" t="str">
        <f ca="1">RESULTADOS!E29</f>
        <v/>
      </c>
      <c r="AB12" s="111" t="str">
        <f ca="1">RESULTADOS!F29</f>
        <v/>
      </c>
      <c r="AC12" s="111" t="str">
        <f ca="1">RESULTADOS!G29</f>
        <v/>
      </c>
      <c r="AD12" s="111" t="str">
        <f ca="1">RESULTADOS!H29</f>
        <v/>
      </c>
      <c r="AE12" s="111" t="str">
        <f ca="1">RESULTADOS!I29</f>
        <v/>
      </c>
      <c r="AF12" s="111" t="str">
        <f ca="1">RESULTADOS!J29</f>
        <v/>
      </c>
      <c r="AG12" s="111" t="str">
        <f ca="1">RESULTADOS!K29</f>
        <v/>
      </c>
      <c r="AH12" s="111" t="str">
        <f ca="1">RESULTADOS!L29</f>
        <v/>
      </c>
      <c r="AI12" s="111" t="str">
        <f ca="1">RESULTADOS!M29</f>
        <v/>
      </c>
      <c r="AJ12" s="111" t="str">
        <f ca="1">RESULTADOS!N29</f>
        <v/>
      </c>
      <c r="AK12" s="111" t="str">
        <f ca="1">RESULTADOS!O29</f>
        <v/>
      </c>
      <c r="AL12" s="111" t="str">
        <f ca="1">RESULTADOS!P29</f>
        <v/>
      </c>
      <c r="AM12" s="111" t="str">
        <f ca="1">RESULTADOS!Q29</f>
        <v/>
      </c>
      <c r="AN12" s="111" t="str">
        <f ca="1">RESULTADOS!R29</f>
        <v/>
      </c>
      <c r="AO12" s="111" t="str">
        <f ca="1">RESULTADOS!S29</f>
        <v/>
      </c>
      <c r="AP12" s="111" t="str">
        <f ca="1">RESULTADOS!T29</f>
        <v/>
      </c>
      <c r="AQ12" s="111" t="str">
        <f ca="1">RESULTADOS!U29</f>
        <v/>
      </c>
      <c r="AR12" s="111" t="str">
        <f ca="1">RESULTADOS!V29</f>
        <v/>
      </c>
      <c r="AS12" s="111" t="str">
        <f ca="1">RESULTADOS!W29</f>
        <v/>
      </c>
      <c r="AT12" s="111" t="str">
        <f ca="1">RESULTADOS!X29</f>
        <v/>
      </c>
      <c r="AU12" s="111" t="str">
        <f ca="1">RESULTADOS!Y29</f>
        <v/>
      </c>
      <c r="AV12" s="111" t="str">
        <f ca="1">RESULTADOS!Z29</f>
        <v/>
      </c>
      <c r="AW12" s="111" t="str">
        <f ca="1">RESULTADOS!AA29</f>
        <v/>
      </c>
      <c r="AX12" s="111" t="str">
        <f ca="1">RESULTADOS!AB29</f>
        <v/>
      </c>
      <c r="AY12" s="111" t="str">
        <f ca="1">RESULTADOS!AC29</f>
        <v/>
      </c>
      <c r="AZ12" s="111" t="str">
        <f ca="1">RESULTADOS!AD29</f>
        <v/>
      </c>
      <c r="BA12" s="111" t="str">
        <f ca="1">RESULTADOS!AE29</f>
        <v/>
      </c>
      <c r="BB12" s="111" t="str">
        <f ca="1">RESULTADOS!AF29</f>
        <v/>
      </c>
      <c r="BC12" s="111" t="str">
        <f ca="1">RESULTADOS!AG29</f>
        <v/>
      </c>
      <c r="BD12" s="111" t="str">
        <f ca="1">RESULTADOS!AH29</f>
        <v/>
      </c>
      <c r="BE12" s="111" t="str">
        <f ca="1">RESULTADOS!AI29</f>
        <v/>
      </c>
      <c r="BF12" s="111" t="str">
        <f ca="1">RESULTADOS!AJ29</f>
        <v/>
      </c>
      <c r="BG12" s="111" t="str">
        <f ca="1">RESULTADOS!AK29</f>
        <v/>
      </c>
      <c r="BH12" s="111" t="str">
        <f ca="1">RESULTADOS!AL29</f>
        <v/>
      </c>
      <c r="BI12" s="111" t="str">
        <f ca="1">RESULTADOS!AM29</f>
        <v/>
      </c>
      <c r="BJ12" s="111" t="str">
        <f ca="1">RESULTADOS!AN29</f>
        <v/>
      </c>
      <c r="BK12" s="111" t="str">
        <f ca="1">RESULTADOS!AO29</f>
        <v/>
      </c>
      <c r="BL12" s="111" t="str">
        <f ca="1">RESULTADOS!AP29</f>
        <v/>
      </c>
      <c r="BM12" s="111" t="str">
        <f ca="1">RESULTADOS!AQ29</f>
        <v/>
      </c>
      <c r="BN12" s="111" t="str">
        <f ca="1">RESULTADOS!AR29</f>
        <v/>
      </c>
      <c r="BO12" s="111" t="str">
        <f ca="1">RESULTADOS!AS29</f>
        <v/>
      </c>
      <c r="BP12" s="111" t="str">
        <f ca="1">RESULTADOS!AT29</f>
        <v/>
      </c>
      <c r="BQ12" s="111" t="str">
        <f ca="1">RESULTADOS!AU29</f>
        <v/>
      </c>
      <c r="BR12" s="111" t="str">
        <f ca="1">RESULTADOS!AV29</f>
        <v/>
      </c>
      <c r="BS12" s="111" t="str">
        <f ca="1">RESULTADOS!AW29</f>
        <v/>
      </c>
      <c r="BT12" s="111" t="str">
        <f ca="1">RESULTADOS!AX29</f>
        <v/>
      </c>
      <c r="BU12" s="111" t="str">
        <f ca="1">RESULTADOS!AY29</f>
        <v/>
      </c>
      <c r="BV12" s="111" t="str">
        <f ca="1">RESULTADOS!AZ29</f>
        <v/>
      </c>
      <c r="BW12" s="111" t="str">
        <f ca="1">RESULTADOS!BA29</f>
        <v/>
      </c>
      <c r="BX12" s="111" t="str">
        <f ca="1">RESULTADOS!BB29</f>
        <v/>
      </c>
      <c r="BY12" s="111" t="str">
        <f ca="1">RESULTADOS!BC29</f>
        <v/>
      </c>
      <c r="BZ12" s="111" t="str">
        <f ca="1">RESULTADOS!BD29</f>
        <v/>
      </c>
      <c r="CA12" s="111" t="str">
        <f ca="1">RESULTADOS!BE29</f>
        <v/>
      </c>
      <c r="CB12" s="111" t="str">
        <f ca="1">RESULTADOS!BF29</f>
        <v/>
      </c>
      <c r="CC12" s="111" t="str">
        <f ca="1">RESULTADOS!BG29</f>
        <v/>
      </c>
      <c r="CD12" s="111" t="str">
        <f ca="1">RESULTADOS!BH29</f>
        <v/>
      </c>
      <c r="CE12" s="111" t="str">
        <f ca="1">RESULTADOS!BI29</f>
        <v/>
      </c>
      <c r="CF12" s="111" t="str">
        <f ca="1">RESULTADOS!BJ29</f>
        <v/>
      </c>
      <c r="CG12" s="111" t="str">
        <f ca="1">RESULTADOS!BK29</f>
        <v/>
      </c>
      <c r="CH12" s="111" t="str">
        <f ca="1">RESULTADOS!BL29</f>
        <v/>
      </c>
      <c r="CI12" s="111" t="str">
        <f ca="1">RESULTADOS!BM29</f>
        <v/>
      </c>
      <c r="CJ12" s="111" t="str">
        <f ca="1">RESULTADOS!BN29</f>
        <v/>
      </c>
      <c r="CK12" s="111" t="str">
        <f ca="1">RESULTADOS!BO29</f>
        <v/>
      </c>
      <c r="CL12" s="111" t="str">
        <f ca="1">RESULTADOS!BP29</f>
        <v/>
      </c>
      <c r="CM12" s="111" t="str">
        <f ca="1">RESULTADOS!BQ29</f>
        <v/>
      </c>
      <c r="CN12" s="111" t="str">
        <f ca="1">RESULTADOS!BR29</f>
        <v/>
      </c>
      <c r="CO12" s="111" t="str">
        <f ca="1">RESULTADOS!BS29</f>
        <v/>
      </c>
      <c r="CP12" s="111" t="str">
        <f ca="1">RESULTADOS!BT29</f>
        <v/>
      </c>
      <c r="CQ12" s="111" t="str">
        <f ca="1">RESULTADOS!BU29</f>
        <v/>
      </c>
      <c r="CR12" s="111" t="str">
        <f ca="1">RESULTADOS!BV29</f>
        <v/>
      </c>
      <c r="CS12" s="111" t="str">
        <f ca="1">RESULTADOS!BW29</f>
        <v/>
      </c>
      <c r="CT12" s="111" t="str">
        <f ca="1">RESULTADOS!BX29</f>
        <v/>
      </c>
      <c r="CU12" s="111" t="str">
        <f ca="1">RESULTADOS!BY29</f>
        <v/>
      </c>
      <c r="CV12" s="111" t="str">
        <f ca="1">RESULTADOS!BZ29</f>
        <v/>
      </c>
      <c r="CW12" s="111" t="str">
        <f ca="1">RESULTADOS!CA29</f>
        <v/>
      </c>
      <c r="CX12" s="111" t="str">
        <f ca="1">RESULTADOS!CB29</f>
        <v/>
      </c>
      <c r="CY12" s="111" t="str">
        <f ca="1">RESULTADOS!CC29</f>
        <v/>
      </c>
      <c r="CZ12" s="111" t="str">
        <f ca="1">RESULTADOS!CD29</f>
        <v/>
      </c>
      <c r="DA12" s="111" t="str">
        <f ca="1">RESULTADOS!CE29</f>
        <v/>
      </c>
      <c r="DB12" s="111" t="str">
        <f ca="1">RESULTADOS!CF29</f>
        <v/>
      </c>
      <c r="DC12" s="111" t="str">
        <f ca="1">RESULTADOS!CG29</f>
        <v/>
      </c>
      <c r="DD12" s="111" t="str">
        <f ca="1">RESULTADOS!CH29</f>
        <v/>
      </c>
      <c r="DE12" s="111" t="str">
        <f ca="1">RESULTADOS!CI29</f>
        <v/>
      </c>
      <c r="DF12" s="111" t="str">
        <f ca="1">RESULTADOS!CJ29</f>
        <v/>
      </c>
      <c r="DG12" s="111" t="str">
        <f ca="1">RESULTADOS!CK29</f>
        <v/>
      </c>
      <c r="DH12" s="111" t="str">
        <f ca="1">RESULTADOS!CL29</f>
        <v/>
      </c>
      <c r="DI12" s="111" t="str">
        <f ca="1">RESULTADOS!CM29</f>
        <v/>
      </c>
      <c r="DJ12" s="111" t="str">
        <f ca="1">RESULTADOS!CN29</f>
        <v/>
      </c>
      <c r="DK12" s="111" t="str">
        <f ca="1">RESULTADOS!CO29</f>
        <v/>
      </c>
      <c r="DL12" s="111" t="str">
        <f ca="1">RESULTADOS!CP29</f>
        <v/>
      </c>
      <c r="DM12" s="111" t="str">
        <f ca="1">RESULTADOS!CQ29</f>
        <v/>
      </c>
      <c r="DN12" s="111" t="str">
        <f ca="1">RESULTADOS!CR29</f>
        <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Listado de expedientes en tramitación</v>
      </c>
      <c r="E13" s="109" t="s">
        <v>58</v>
      </c>
      <c r="F13" s="112" t="str">
        <f>'02.Tecnologías'!I10</f>
        <v>No</v>
      </c>
      <c r="G13" s="112">
        <f>'02.Tecnologías'!K23</f>
        <v>0</v>
      </c>
      <c r="H13" s="112">
        <f>'02.Tecnologías'!L23</f>
        <v>0</v>
      </c>
      <c r="I13" s="162"/>
      <c r="J13" s="162"/>
      <c r="K13" t="s">
        <v>474</v>
      </c>
      <c r="L13" s="164" t="str">
        <f ca="1">RESULTADOS!E8</f>
        <v>22 (23,91 %)</v>
      </c>
      <c r="M13" s="164" t="str">
        <f ca="1">RESULTADOS!F8</f>
        <v>10 (10,87 %)</v>
      </c>
      <c r="N13" s="164" t="str">
        <f ca="1">RESULTADOS!G8</f>
        <v>60 (65,22 %)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45301</v>
      </c>
      <c r="E14" s="109" t="s">
        <v>61</v>
      </c>
      <c r="F14" s="112" t="str">
        <f>'02.Tecnologías'!I11</f>
        <v>No</v>
      </c>
      <c r="G14" s="161"/>
      <c r="H14" s="161"/>
      <c r="I14" s="161"/>
      <c r="J14" s="161"/>
      <c r="K14" t="s">
        <v>475</v>
      </c>
      <c r="L14" s="164" t="str">
        <f ca="1">RESULTADOS!E9</f>
        <v>8 (17,78 %)</v>
      </c>
      <c r="M14" s="164" t="str">
        <f ca="1">RESULTADOS!F9</f>
        <v>0 (0 %)</v>
      </c>
      <c r="N14" s="164" t="str">
        <f ca="1">RESULTADOS!G9</f>
        <v>37 (82,22 %)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 xml:space="preserve"> </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28</v>
      </c>
      <c r="D16" s="112" t="str">
        <f>'01.Definición de ámbito'!C41</f>
        <v>Equipo: Intel(R) Core(TM) i5-8365U CPU @ 1.60GHz   1.90 GHz, 
RAM: 8,0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29</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34</v>
      </c>
      <c r="D18" s="112" t="str">
        <f>'01.Definición de ámbito'!D48</f>
        <v>No</v>
      </c>
      <c r="K18" t="s">
        <v>92</v>
      </c>
      <c r="L18" s="113">
        <f ca="1">RESULTADOS!L8</f>
        <v>163</v>
      </c>
      <c r="M18" s="171">
        <f ca="1">RESULTADOS!M8</f>
        <v>0.23657474600870829</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36</v>
      </c>
      <c r="D19" s="112" t="str">
        <f>'01.Definición de ámbito'!D49</f>
        <v>Sí</v>
      </c>
      <c r="K19" t="s">
        <v>94</v>
      </c>
      <c r="L19" s="113">
        <f ca="1">RESULTADOS!L9</f>
        <v>63</v>
      </c>
      <c r="M19" s="171">
        <f ca="1">RESULTADOS!M9</f>
        <v>9.1436865021770689E-2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37</v>
      </c>
      <c r="D20" s="112" t="str">
        <f>'01.Definición de ámbito'!D50</f>
        <v>No</v>
      </c>
      <c r="K20" t="s">
        <v>97</v>
      </c>
      <c r="L20" s="113">
        <f ca="1">RESULTADOS!L10</f>
        <v>463</v>
      </c>
      <c r="M20" s="171">
        <f ca="1">RESULTADOS!M10</f>
        <v>0.67198838896952107</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38</v>
      </c>
      <c r="D21" s="112" t="str">
        <f>'01.Definición de ámbito'!D51</f>
        <v>No</v>
      </c>
      <c r="K21" t="s">
        <v>266</v>
      </c>
      <c r="L21" s="113">
        <f ca="1">RESULTADOS!L11</f>
        <v>689</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39</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40</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41</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42</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43</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44</v>
      </c>
      <c r="D29" s="112" t="str">
        <f>'01.Definición de ámbito'!C58</f>
        <v>Autoevaluación con recursos externos</v>
      </c>
      <c r="K29" t="s">
        <v>479</v>
      </c>
      <c r="L29" s="115">
        <f ca="1">RESULTADOS!F14</f>
        <v>7.27</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46</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abSelected="1" topLeftCell="C22" zoomScale="85" zoomScaleNormal="85" workbookViewId="0">
      <selection activeCell="C31" sqref="C3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426</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486</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484</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481</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45301</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30</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28</v>
      </c>
      <c r="C41" s="64" t="s">
        <v>483</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29</v>
      </c>
      <c r="C45" s="61"/>
      <c r="D45" s="36" t="s">
        <v>30</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31</v>
      </c>
      <c r="C47" s="117" t="s">
        <v>32</v>
      </c>
      <c r="D47" s="116" t="s">
        <v>33</v>
      </c>
      <c r="M47" s="18"/>
      <c r="N47" s="18"/>
      <c r="O47" s="18"/>
      <c r="Q47" s="18"/>
      <c r="R47" s="18"/>
      <c r="S47" s="18"/>
      <c r="U47" s="18"/>
      <c r="V47" s="18"/>
      <c r="W47" s="18"/>
      <c r="X47" s="18"/>
      <c r="Y47" s="18"/>
      <c r="Z47" s="18"/>
    </row>
    <row r="48" spans="2:26" ht="14.9" customHeight="1">
      <c r="C48" s="27" t="s">
        <v>34</v>
      </c>
      <c r="D48" s="19" t="s">
        <v>35</v>
      </c>
      <c r="G48" s="62"/>
    </row>
    <row r="49" spans="2:26" ht="14.9" customHeight="1">
      <c r="C49" s="27" t="s">
        <v>36</v>
      </c>
      <c r="D49" s="19" t="s">
        <v>53</v>
      </c>
      <c r="G49" s="62"/>
    </row>
    <row r="50" spans="2:26" ht="14.9" customHeight="1">
      <c r="C50" s="27" t="s">
        <v>37</v>
      </c>
      <c r="D50" s="19" t="s">
        <v>35</v>
      </c>
      <c r="G50" s="62"/>
    </row>
    <row r="51" spans="2:26" ht="14.9" customHeight="1">
      <c r="C51" s="27" t="s">
        <v>38</v>
      </c>
      <c r="D51" s="19" t="s">
        <v>35</v>
      </c>
      <c r="G51" s="62"/>
    </row>
    <row r="52" spans="2:26" ht="14.9" customHeight="1">
      <c r="C52" s="27" t="s">
        <v>39</v>
      </c>
      <c r="D52" s="19" t="s">
        <v>35</v>
      </c>
      <c r="G52" s="62"/>
    </row>
    <row r="53" spans="2:26" ht="14.9" customHeight="1">
      <c r="C53" s="27" t="s">
        <v>40</v>
      </c>
      <c r="D53" s="19" t="s">
        <v>35</v>
      </c>
      <c r="G53" s="62"/>
    </row>
    <row r="54" spans="2:26" ht="14.9" customHeight="1">
      <c r="C54" s="27" t="s">
        <v>41</v>
      </c>
      <c r="D54" s="19" t="s">
        <v>35</v>
      </c>
      <c r="G54" s="62"/>
    </row>
    <row r="55" spans="2:26" ht="14.9" customHeight="1">
      <c r="C55" s="27" t="s">
        <v>42</v>
      </c>
      <c r="D55" s="19" t="s">
        <v>35</v>
      </c>
      <c r="G55" s="62"/>
    </row>
    <row r="56" spans="2:26" ht="14.9" customHeight="1">
      <c r="C56" s="27" t="s">
        <v>43</v>
      </c>
      <c r="D56" s="19" t="s">
        <v>35</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44</v>
      </c>
      <c r="C58" s="61" t="s">
        <v>45</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46</v>
      </c>
      <c r="C60" s="61" t="s">
        <v>47</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5" customHeight="1"/>
    <row r="9" spans="1:60" ht="17.149999999999999" customHeight="1">
      <c r="B9" s="156" t="s">
        <v>52</v>
      </c>
      <c r="C9" s="157" t="s">
        <v>53</v>
      </c>
      <c r="E9" s="156" t="s">
        <v>54</v>
      </c>
      <c r="F9" s="157" t="s">
        <v>35</v>
      </c>
      <c r="H9" s="156" t="s">
        <v>55</v>
      </c>
      <c r="I9" s="157" t="s">
        <v>35</v>
      </c>
    </row>
    <row r="10" spans="1:60" ht="17.149999999999999" customHeight="1">
      <c r="B10" s="156" t="s">
        <v>56</v>
      </c>
      <c r="C10" s="157" t="s">
        <v>35</v>
      </c>
      <c r="E10" s="156" t="s">
        <v>57</v>
      </c>
      <c r="F10" s="157" t="s">
        <v>35</v>
      </c>
      <c r="H10" s="156" t="s">
        <v>58</v>
      </c>
      <c r="I10" s="157" t="s">
        <v>35</v>
      </c>
    </row>
    <row r="11" spans="1:60" ht="17.149999999999999" customHeight="1">
      <c r="B11" s="156" t="s">
        <v>59</v>
      </c>
      <c r="C11" s="157" t="s">
        <v>35</v>
      </c>
      <c r="E11" s="156" t="s">
        <v>60</v>
      </c>
      <c r="F11" s="157" t="s">
        <v>35</v>
      </c>
      <c r="H11" s="156" t="s">
        <v>61</v>
      </c>
      <c r="I11" s="157" t="s">
        <v>35</v>
      </c>
    </row>
    <row r="12" spans="1:60" ht="17.149999999999999" customHeight="1">
      <c r="B12" s="156" t="s">
        <v>62</v>
      </c>
      <c r="C12" s="157" t="s">
        <v>53</v>
      </c>
      <c r="E12" s="156" t="s">
        <v>63</v>
      </c>
      <c r="F12" s="157" t="s">
        <v>35</v>
      </c>
      <c r="H12" s="156" t="s">
        <v>64</v>
      </c>
      <c r="I12" s="157" t="s">
        <v>35</v>
      </c>
      <c r="K12" s="158" t="s">
        <v>65</v>
      </c>
      <c r="L12" s="158" t="s">
        <v>66</v>
      </c>
    </row>
    <row r="13" spans="1:60" ht="17.149999999999999" customHeight="1">
      <c r="B13" s="156" t="s">
        <v>67</v>
      </c>
      <c r="C13" s="157" t="s">
        <v>53</v>
      </c>
      <c r="E13" s="156" t="s">
        <v>68</v>
      </c>
      <c r="F13" s="157" t="s">
        <v>35</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zoomScale="70" zoomScaleNormal="70" workbookViewId="0">
      <selection activeCell="F8" sqref="F8"/>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493</v>
      </c>
      <c r="D8" s="53" t="s">
        <v>480</v>
      </c>
      <c r="E8" s="53" t="s">
        <v>430</v>
      </c>
      <c r="F8" s="123" t="s">
        <v>487</v>
      </c>
      <c r="G8" s="53" t="s">
        <v>493</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494</v>
      </c>
      <c r="D9" s="53" t="s">
        <v>480</v>
      </c>
      <c r="E9" s="53" t="s">
        <v>444</v>
      </c>
      <c r="F9" s="123" t="s">
        <v>488</v>
      </c>
      <c r="G9" s="53" t="s">
        <v>494</v>
      </c>
      <c r="H9" s="101"/>
      <c r="I9" s="18"/>
      <c r="J9" s="18"/>
      <c r="K9" s="18"/>
      <c r="L9" s="18"/>
      <c r="M9" s="18"/>
      <c r="N9" s="18"/>
      <c r="O9" s="18"/>
      <c r="P9" s="18"/>
      <c r="Q9" s="18"/>
      <c r="R9" s="18"/>
      <c r="S9" s="18"/>
      <c r="T9" s="18"/>
      <c r="U9" s="18"/>
      <c r="V9" s="18"/>
      <c r="W9" s="18"/>
      <c r="X9" s="18"/>
      <c r="Y9" s="18"/>
    </row>
    <row r="10" spans="1:64" ht="18.149999999999999" customHeight="1">
      <c r="B10" s="51">
        <v>3</v>
      </c>
      <c r="C10" s="52" t="s">
        <v>499</v>
      </c>
      <c r="D10" s="53" t="s">
        <v>480</v>
      </c>
      <c r="E10" s="53" t="s">
        <v>444</v>
      </c>
      <c r="F10" s="123" t="s">
        <v>489</v>
      </c>
      <c r="G10" s="53" t="s">
        <v>499</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498</v>
      </c>
      <c r="D11" s="53" t="s">
        <v>480</v>
      </c>
      <c r="E11" s="53" t="s">
        <v>444</v>
      </c>
      <c r="F11" s="123" t="s">
        <v>490</v>
      </c>
      <c r="G11" s="53" t="s">
        <v>498</v>
      </c>
      <c r="H11" s="101" t="s">
        <v>30</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497</v>
      </c>
      <c r="D12" s="53" t="s">
        <v>480</v>
      </c>
      <c r="E12" s="53" t="s">
        <v>444</v>
      </c>
      <c r="F12" s="123" t="s">
        <v>491</v>
      </c>
      <c r="G12" s="53" t="s">
        <v>497</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496</v>
      </c>
      <c r="D13" s="53" t="s">
        <v>480</v>
      </c>
      <c r="E13" s="53" t="s">
        <v>444</v>
      </c>
      <c r="F13" s="123" t="s">
        <v>492</v>
      </c>
      <c r="G13" s="53" t="s">
        <v>496</v>
      </c>
      <c r="H13" s="101"/>
      <c r="I13" s="18"/>
      <c r="J13" s="18"/>
      <c r="K13" s="18"/>
      <c r="L13" s="18"/>
      <c r="M13" s="18"/>
      <c r="N13" s="18"/>
      <c r="O13" s="18"/>
      <c r="P13" s="18"/>
      <c r="Q13" s="18"/>
      <c r="R13" s="18"/>
      <c r="S13" s="18"/>
      <c r="T13" s="18"/>
      <c r="V13" s="18"/>
      <c r="W13" s="18"/>
      <c r="X13" s="18"/>
      <c r="Y13" s="18"/>
    </row>
    <row r="14" spans="1:64" ht="18.149999999999999" customHeight="1">
      <c r="B14" s="51">
        <v>7</v>
      </c>
      <c r="C14" s="52" t="s">
        <v>495</v>
      </c>
      <c r="D14" s="53" t="s">
        <v>480</v>
      </c>
      <c r="E14" s="53" t="s">
        <v>442</v>
      </c>
      <c r="F14" s="123" t="s">
        <v>485</v>
      </c>
      <c r="G14" s="53" t="s">
        <v>495</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502</v>
      </c>
      <c r="D15" s="53" t="s">
        <v>501</v>
      </c>
      <c r="E15" s="53" t="s">
        <v>446</v>
      </c>
      <c r="F15" s="123" t="s">
        <v>500</v>
      </c>
      <c r="G15" s="53" t="s">
        <v>502</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c r="D16" s="53"/>
      <c r="E16" s="53"/>
      <c r="F16" s="123"/>
      <c r="G16" s="53"/>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c r="D17" s="53"/>
      <c r="E17" s="53"/>
      <c r="F17" s="123"/>
      <c r="G17" s="53"/>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8</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8</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0</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82</v>
      </c>
      <c r="C52" s="58"/>
      <c r="D52" s="44" t="str">
        <f>IF(AND(D49&gt;=0.1*D47,D49&gt;0, COUNTIF(E8:E42,"Página inicio"),   COUNTIF(E8:E42,"Declaración accesibilidad"),  COUNTA(C8:C42)=COUNTA(D8:D42),  COUNTA(C8:C42)=COUNTA(E8:E42),   COUNTA(C8:C42)=COUNTA(F8:F42), COUNTA(C8:C42)=COUNTA(G8:G42)    ),"SI","NO")</f>
        <v>NO</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topLeftCell="A129" zoomScale="128" zoomScaleNormal="128" workbookViewId="0">
      <selection activeCell="D97" sqref="D97:D101"/>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21</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21</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https://www.bocm.es/</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Inicio/ultimo-bocm</v>
      </c>
      <c r="C20" s="174" t="str" cm="1">
        <f t="array" ref="C20">IFERROR(INDEX('03.Muestra'!$F$8:$F$42,SMALL(IF("Página Web"='03.Muestra'!$D$8:$D$42,ROW('03.Muestra'!$F$8:$F$42)-MIN(ROW('03.Muestra'!$D$8:$D$42))+1,""),ROW()-18)),"")</f>
        <v>https://www.bocm.es/ultimo-bocm</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Inicio/autentificacion-verificacion</v>
      </c>
      <c r="C21" s="174" t="str" cm="1">
        <f t="array" ref="C21">IFERROR(INDEX('03.Muestra'!$F$8:$F$42,SMALL(IF("Página Web"='03.Muestra'!$D$8:$D$42,ROW('03.Muestra'!$F$8:$F$42)-MIN(ROW('03.Muestra'!$D$8:$D$42))+1,""),ROW()-18)),"")</f>
        <v>https://www.bocm.es/autentificacion-verificacion</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Inicio/que-es-bocm</v>
      </c>
      <c r="C22" s="174" t="str" cm="1">
        <f t="array" ref="C22">IFERROR(INDEX('03.Muestra'!$F$8:$F$42,SMALL(IF("Página Web"='03.Muestra'!$D$8:$D$42,ROW('03.Muestra'!$F$8:$F$42)-MIN(ROW('03.Muestra'!$D$8:$D$42))+1,""),ROW()-18)),"")</f>
        <v>https://www.bocm.es/que-es-bocm</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Inicio/organismo-autonomo</v>
      </c>
      <c r="C23" s="174" t="str" cm="1">
        <f t="array" ref="C23">IFERROR(INDEX('03.Muestra'!$F$8:$F$42,SMALL(IF("Página Web"='03.Muestra'!$D$8:$D$42,ROW('03.Muestra'!$F$8:$F$42)-MIN(ROW('03.Muestra'!$D$8:$D$42))+1,""),ROW()-18)),"")</f>
        <v>https://www.bocm.es/organismo-autonomo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Inicio/s/publicar-anuncio</v>
      </c>
      <c r="C24" s="174" t="str" cm="1">
        <f t="array" ref="C24">IFERROR(INDEX('03.Muestra'!$F$8:$F$42,SMALL(IF("Página Web"='03.Muestra'!$D$8:$D$42,ROW('03.Muestra'!$F$8:$F$42)-MIN(ROW('03.Muestra'!$D$8:$D$42))+1,""),ROW()-18)),"")</f>
        <v>https://www.bocm.es/publicar-anuncio</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Inicio/declaracion-de-accesibilidad</v>
      </c>
      <c r="C25" s="174" t="str" cm="1">
        <f t="array" ref="C25">IFERROR(INDEX('03.Muestra'!$F$8:$F$42,SMALL(IF("Página Web"='03.Muestra'!$D$8:$D$42,ROW('03.Muestra'!$F$8:$F$42)-MIN(ROW('03.Muestra'!$D$8:$D$42))+1,""),ROW()-18)),"")</f>
        <v>https://www.bocm.es/declaracion-de-accesibilidad</v>
      </c>
      <c r="D25" s="99" t="s">
        <v>104</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174" t="str" cm="1">
        <f t="array" ref="B26">IFERROR(INDEX('03.Muestra'!$C$8:$C$42,SMALL(IF("Página Web"='03.Muestra'!$D$8:$D$42,ROW('03.Muestra'!$C$8:$C$42)-MIN(ROW('03.Muestra'!$D$8:$D$42))+1,""),ROW()-18)),"")</f>
        <v/>
      </c>
      <c r="C26" s="174"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174" t="str" cm="1">
        <f t="array" ref="B27">IFERROR(INDEX('03.Muestra'!$C$8:$C$42,SMALL(IF("Página Web"='03.Muestra'!$D$8:$D$42,ROW('03.Muestra'!$C$8:$C$42)-MIN(ROW('03.Muestra'!$D$8:$D$42))+1,""),ROW()-18)),"")</f>
        <v/>
      </c>
      <c r="C27" s="174"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174" t="str" cm="1">
        <f t="array" ref="B28">IFERROR(INDEX('03.Muestra'!$C$8:$C$42,SMALL(IF("Página Web"='03.Muestra'!$D$8:$D$42,ROW('03.Muestra'!$C$8:$C$42)-MIN(ROW('03.Muestra'!$D$8:$D$42))+1,""),ROW()-18)),"")</f>
        <v/>
      </c>
      <c r="C28" s="174"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https://www.bocm.es/</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Inicio/ultimo-bocm</v>
      </c>
      <c r="C58" s="175" t="str" cm="1">
        <f t="array" ref="C58">IFERROR(INDEX('03.Muestra'!$F$8:$F$42,SMALL(IF("Página Web"='03.Muestra'!$D$8:$D$42,ROW('03.Muestra'!$F$8:$F$42)-MIN(ROW('03.Muestra'!$D$8:$D$42))+1,""),ROW()-56)),"")</f>
        <v>https://www.bocm.es/ultimo-bocm</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Inicio/autentificacion-verificacion</v>
      </c>
      <c r="C59" s="175" t="str" cm="1">
        <f t="array" ref="C59">IFERROR(INDEX('03.Muestra'!$F$8:$F$42,SMALL(IF("Página Web"='03.Muestra'!$D$8:$D$42,ROW('03.Muestra'!$F$8:$F$42)-MIN(ROW('03.Muestra'!$D$8:$D$42))+1,""),ROW()-56)),"")</f>
        <v>https://www.bocm.es/autentificacion-verificacion</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Inicio/que-es-bocm</v>
      </c>
      <c r="C60" s="175" t="str" cm="1">
        <f t="array" ref="C60">IFERROR(INDEX('03.Muestra'!$F$8:$F$42,SMALL(IF("Página Web"='03.Muestra'!$D$8:$D$42,ROW('03.Muestra'!$F$8:$F$42)-MIN(ROW('03.Muestra'!$D$8:$D$42))+1,""),ROW()-56)),"")</f>
        <v>https://www.bocm.es/que-es-bocm</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Inicio/organismo-autonomo</v>
      </c>
      <c r="C61" s="175" t="str" cm="1">
        <f t="array" ref="C61">IFERROR(INDEX('03.Muestra'!$F$8:$F$42,SMALL(IF("Página Web"='03.Muestra'!$D$8:$D$42,ROW('03.Muestra'!$F$8:$F$42)-MIN(ROW('03.Muestra'!$D$8:$D$42))+1,""),ROW()-56)),"")</f>
        <v>https://www.bocm.es/organismo-autonomo</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Inicio/s/publicar-anuncio</v>
      </c>
      <c r="C62" s="175" t="str" cm="1">
        <f t="array" ref="C62">IFERROR(INDEX('03.Muestra'!$F$8:$F$42,SMALL(IF("Página Web"='03.Muestra'!$D$8:$D$42,ROW('03.Muestra'!$F$8:$F$42)-MIN(ROW('03.Muestra'!$D$8:$D$42))+1,""),ROW()-56)),"")</f>
        <v>https://www.bocm.es/publicar-anuncio</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Inicio/declaracion-de-accesibilidad</v>
      </c>
      <c r="C63" s="175" t="str" cm="1">
        <f t="array" ref="C63">IFERROR(INDEX('03.Muestra'!$F$8:$F$42,SMALL(IF("Página Web"='03.Muestra'!$D$8:$D$42,ROW('03.Muestra'!$F$8:$F$42)-MIN(ROW('03.Muestra'!$D$8:$D$42))+1,""),ROW()-56)),"")</f>
        <v>https://www.bocm.es/declaracion-de-accesibilidad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t="str" cm="1">
        <f t="array" ref="A64">IFERROR(INDEX('03.Muestra'!$B$8:$B$42,SMALL(IF("Página Web"='03.Muestra'!$D$8:$D$42,ROW('03.Muestra'!$B$8:$B$42)-MIN(ROW('03.Muestra'!$D$8:$D$42))+1,""),ROW()-56)),"")</f>
        <v/>
      </c>
      <c r="B64" s="175" t="str" cm="1">
        <f t="array" ref="B64">IFERROR(INDEX('03.Muestra'!$C$8:$C$42,SMALL(IF("Página Web"='03.Muestra'!$D$8:$D$42,ROW('03.Muestra'!$C$8:$C$42)-MIN(ROW('03.Muestra'!$D$8:$D$42))+1,""),ROW()-56)),"")</f>
        <v/>
      </c>
      <c r="C64" s="17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t="str" cm="1">
        <f t="array" ref="A65">IFERROR(INDEX('03.Muestra'!$B$8:$B$42,SMALL(IF("Página Web"='03.Muestra'!$D$8:$D$42,ROW('03.Muestra'!$B$8:$B$42)-MIN(ROW('03.Muestra'!$D$8:$D$42))+1,""),ROW()-56)),"")</f>
        <v/>
      </c>
      <c r="B65" s="175" t="str" cm="1">
        <f t="array" ref="B65">IFERROR(INDEX('03.Muestra'!$C$8:$C$42,SMALL(IF("Página Web"='03.Muestra'!$D$8:$D$42,ROW('03.Muestra'!$C$8:$C$42)-MIN(ROW('03.Muestra'!$D$8:$D$42))+1,""),ROW()-56)),"")</f>
        <v/>
      </c>
      <c r="C65" s="175" t="str" cm="1">
        <f t="array" ref="C65">IFERROR(INDEX('03.Muestra'!$F$8:$F$42,SMALL(IF("Página Web"='03.Muestra'!$D$8:$D$42,ROW('03.Muestra'!$F$8:$F$42)-MIN(ROW('03.Muestra'!$D$8:$D$42))+1,""),ROW()-56)),"")</f>
        <v/>
      </c>
      <c r="D65" s="99" t="str">
        <f t="shared" si="3"/>
        <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t="str" cm="1">
        <f t="array" ref="A66">IFERROR(INDEX('03.Muestra'!$B$8:$B$42,SMALL(IF("Página Web"='03.Muestra'!$D$8:$D$42,ROW('03.Muestra'!$B$8:$B$42)-MIN(ROW('03.Muestra'!$D$8:$D$42))+1,""),ROW()-56)),"")</f>
        <v/>
      </c>
      <c r="B66" s="175" t="str" cm="1">
        <f t="array" ref="B66">IFERROR(INDEX('03.Muestra'!$C$8:$C$42,SMALL(IF("Página Web"='03.Muestra'!$D$8:$D$42,ROW('03.Muestra'!$C$8:$C$42)-MIN(ROW('03.Muestra'!$D$8:$D$42))+1,""),ROW()-56)),"")</f>
        <v/>
      </c>
      <c r="C66" s="175" t="str" cm="1">
        <f t="array" ref="C66">IFERROR(INDEX('03.Muestra'!$F$8:$F$42,SMALL(IF("Página Web"='03.Muestra'!$D$8:$D$42,ROW('03.Muestra'!$F$8:$F$42)-MIN(ROW('03.Muestra'!$D$8:$D$42))+1,""),ROW()-56)),"")</f>
        <v/>
      </c>
      <c r="D66" s="99" t="str">
        <f t="shared" si="3"/>
        <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si="3"/>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https://www.bocm.es/</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Inicio/ultimo-bocm</v>
      </c>
      <c r="C96" s="175" t="str" cm="1">
        <f t="array" ref="C96">IFERROR(INDEX('03.Muestra'!$F$8:$F$42,SMALL(IF("Página Web"='03.Muestra'!$D$8:$D$42,ROW('03.Muestra'!$F$8:$F$42)-MIN(ROW('03.Muestra'!$D$8:$D$42))+1,""),ROW()-94)),"")</f>
        <v>https://www.bocm.es/ultimo-bocm</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Inicio/autentificacion-verificacion</v>
      </c>
      <c r="C97" s="175" t="str" cm="1">
        <f t="array" ref="C97">IFERROR(INDEX('03.Muestra'!$F$8:$F$42,SMALL(IF("Página Web"='03.Muestra'!$D$8:$D$42,ROW('03.Muestra'!$F$8:$F$42)-MIN(ROW('03.Muestra'!$D$8:$D$42))+1,""),ROW()-94)),"")</f>
        <v>https://www.bocm.es/autentificacion-verificacion</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Inicio/que-es-bocm</v>
      </c>
      <c r="C98" s="175" t="str" cm="1">
        <f t="array" ref="C98">IFERROR(INDEX('03.Muestra'!$F$8:$F$42,SMALL(IF("Página Web"='03.Muestra'!$D$8:$D$42,ROW('03.Muestra'!$F$8:$F$42)-MIN(ROW('03.Muestra'!$D$8:$D$42))+1,""),ROW()-94)),"")</f>
        <v>https://www.bocm.es/que-es-bocm</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Inicio/organismo-autonomo</v>
      </c>
      <c r="C99" s="175" t="str" cm="1">
        <f t="array" ref="C99">IFERROR(INDEX('03.Muestra'!$F$8:$F$42,SMALL(IF("Página Web"='03.Muestra'!$D$8:$D$42,ROW('03.Muestra'!$F$8:$F$42)-MIN(ROW('03.Muestra'!$D$8:$D$42))+1,""),ROW()-94)),"")</f>
        <v>https://www.bocm.es/organismo-autonomo</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Inicio/s/publicar-anuncio</v>
      </c>
      <c r="C100" s="175" t="str" cm="1">
        <f t="array" ref="C100">IFERROR(INDEX('03.Muestra'!$F$8:$F$42,SMALL(IF("Página Web"='03.Muestra'!$D$8:$D$42,ROW('03.Muestra'!$F$8:$F$42)-MIN(ROW('03.Muestra'!$D$8:$D$42))+1,""),ROW()-94)),"")</f>
        <v>https://www.bocm.es/publicar-anuncio</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Inicio/declaracion-de-accesibilidad</v>
      </c>
      <c r="C101" s="175" t="str" cm="1">
        <f t="array" ref="C101">IFERROR(INDEX('03.Muestra'!$F$8:$F$42,SMALL(IF("Página Web"='03.Muestra'!$D$8:$D$42,ROW('03.Muestra'!$F$8:$F$42)-MIN(ROW('03.Muestra'!$D$8:$D$42))+1,""),ROW()-94)),"")</f>
        <v>https://www.bocm.es/declaracion-de-accesibilidad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t="str" cm="1">
        <f t="array" ref="A102">IFERROR(INDEX('03.Muestra'!$B$8:$B$42,SMALL(IF("Página Web"='03.Muestra'!$D$8:$D$42,ROW('03.Muestra'!$B$8:$B$42)-MIN(ROW('03.Muestra'!$D$8:$D$42))+1,""),ROW()-94)),"")</f>
        <v/>
      </c>
      <c r="B102" s="175" t="str" cm="1">
        <f t="array" ref="B102">IFERROR(INDEX('03.Muestra'!$C$8:$C$42,SMALL(IF("Página Web"='03.Muestra'!$D$8:$D$42,ROW('03.Muestra'!$C$8:$C$42)-MIN(ROW('03.Muestra'!$D$8:$D$42))+1,""),ROW()-94)),"")</f>
        <v/>
      </c>
      <c r="C102" s="17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t="str" cm="1">
        <f t="array" ref="A103">IFERROR(INDEX('03.Muestra'!$B$8:$B$42,SMALL(IF("Página Web"='03.Muestra'!$D$8:$D$42,ROW('03.Muestra'!$B$8:$B$42)-MIN(ROW('03.Muestra'!$D$8:$D$42))+1,""),ROW()-94)),"")</f>
        <v/>
      </c>
      <c r="B103" s="175" t="str" cm="1">
        <f t="array" ref="B103">IFERROR(INDEX('03.Muestra'!$C$8:$C$42,SMALL(IF("Página Web"='03.Muestra'!$D$8:$D$42,ROW('03.Muestra'!$C$8:$C$42)-MIN(ROW('03.Muestra'!$D$8:$D$42))+1,""),ROW()-94)),"")</f>
        <v/>
      </c>
      <c r="C103" s="175" t="str" cm="1">
        <f t="array" ref="C103">IFERROR(INDEX('03.Muestra'!$F$8:$F$42,SMALL(IF("Página Web"='03.Muestra'!$D$8:$D$42,ROW('03.Muestra'!$F$8:$F$42)-MIN(ROW('03.Muestra'!$D$8:$D$42))+1,""),ROW()-94)),"")</f>
        <v/>
      </c>
      <c r="D103" s="99" t="str">
        <f t="shared" si="5"/>
        <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t="str" cm="1">
        <f t="array" ref="A104">IFERROR(INDEX('03.Muestra'!$B$8:$B$42,SMALL(IF("Página Web"='03.Muestra'!$D$8:$D$42,ROW('03.Muestra'!$B$8:$B$42)-MIN(ROW('03.Muestra'!$D$8:$D$42))+1,""),ROW()-94)),"")</f>
        <v/>
      </c>
      <c r="B104" s="175" t="str" cm="1">
        <f t="array" ref="B104">IFERROR(INDEX('03.Muestra'!$C$8:$C$42,SMALL(IF("Página Web"='03.Muestra'!$D$8:$D$42,ROW('03.Muestra'!$C$8:$C$42)-MIN(ROW('03.Muestra'!$D$8:$D$42))+1,""),ROW()-94)),"")</f>
        <v/>
      </c>
      <c r="C104" s="175" t="str" cm="1">
        <f t="array" ref="C104">IFERROR(INDEX('03.Muestra'!$F$8:$F$42,SMALL(IF("Página Web"='03.Muestra'!$D$8:$D$42,ROW('03.Muestra'!$F$8:$F$42)-MIN(ROW('03.Muestra'!$D$8:$D$42))+1,""),ROW()-94)),"")</f>
        <v/>
      </c>
      <c r="D104" s="99" t="str">
        <f t="shared" si="5"/>
        <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si="5"/>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topLeftCell="A724" zoomScale="126" zoomScaleNormal="126" workbookViewId="0">
      <selection activeCell="D705" sqref="D705:D709"/>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110</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133</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133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https://www.bocm.es/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Inicio/ultimo-bocm</v>
      </c>
      <c r="C20" s="85" t="str" cm="1">
        <f t="array" ref="C20">IFERROR(INDEX('03.Muestra'!$F$8:$F$42,SMALL(IF("Página Web"='03.Muestra'!$D$8:$D$42,ROW('03.Muestra'!$F$8:$F$42)-MIN(ROW('03.Muestra'!$D$8:$D$42))+1,""),ROW()-18)),"")</f>
        <v>https://www.bocm.es/ultimo-bocm</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Inicio/autentificacion-verificacion</v>
      </c>
      <c r="C21" s="85" t="str" cm="1">
        <f t="array" ref="C21">IFERROR(INDEX('03.Muestra'!$F$8:$F$42,SMALL(IF("Página Web"='03.Muestra'!$D$8:$D$42,ROW('03.Muestra'!$F$8:$F$42)-MIN(ROW('03.Muestra'!$D$8:$D$42))+1,""),ROW()-18)),"")</f>
        <v>https://www.bocm.es/autentificacion-verificacion</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Inicio/que-es-bocm</v>
      </c>
      <c r="C22" s="85" t="str" cm="1">
        <f t="array" ref="C22">IFERROR(INDEX('03.Muestra'!$F$8:$F$42,SMALL(IF("Página Web"='03.Muestra'!$D$8:$D$42,ROW('03.Muestra'!$F$8:$F$42)-MIN(ROW('03.Muestra'!$D$8:$D$42))+1,""),ROW()-18)),"")</f>
        <v>https://www.bocm.es/que-es-bocm</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Inicio/organismo-autonomo</v>
      </c>
      <c r="C23" s="85" t="str" cm="1">
        <f t="array" ref="C23">IFERROR(INDEX('03.Muestra'!$F$8:$F$42,SMALL(IF("Página Web"='03.Muestra'!$D$8:$D$42,ROW('03.Muestra'!$F$8:$F$42)-MIN(ROW('03.Muestra'!$D$8:$D$42))+1,""),ROW()-18)),"")</f>
        <v>https://www.bocm.es/organismo-autonomo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Inicio/s/publicar-anuncio</v>
      </c>
      <c r="C24" s="85" t="str" cm="1">
        <f t="array" ref="C24">IFERROR(INDEX('03.Muestra'!$F$8:$F$42,SMALL(IF("Página Web"='03.Muestra'!$D$8:$D$42,ROW('03.Muestra'!$F$8:$F$42)-MIN(ROW('03.Muestra'!$D$8:$D$42))+1,""),ROW()-18)),"")</f>
        <v>https://www.bocm.es/publicar-anuncio</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Inicio/declaracion-de-accesibilidad</v>
      </c>
      <c r="C25" s="85" t="str" cm="1">
        <f t="array" ref="C25">IFERROR(INDEX('03.Muestra'!$F$8:$F$42,SMALL(IF("Página Web"='03.Muestra'!$D$8:$D$42,ROW('03.Muestra'!$F$8:$F$42)-MIN(ROW('03.Muestra'!$D$8:$D$42))+1,""),ROW()-18)),"")</f>
        <v>https://www.bocm.es/declaracion-de-accesibilidad</v>
      </c>
      <c r="D25" s="99" t="s">
        <v>104</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https://www.bocm.es/</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Inicio/ultimo-bocm</v>
      </c>
      <c r="C58" s="85" t="str" cm="1">
        <f t="array" ref="C58">IFERROR(INDEX('03.Muestra'!$F$8:$F$42,SMALL(IF("Página Web"='03.Muestra'!$D$8:$D$42,ROW('03.Muestra'!$F$8:$F$42)-MIN(ROW('03.Muestra'!$D$8:$D$42))+1,""),ROW()-56)),"")</f>
        <v>https://www.bocm.es/ultimo-bocm</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Inicio/autentificacion-verificacion</v>
      </c>
      <c r="C59" s="85" t="str" cm="1">
        <f t="array" ref="C59">IFERROR(INDEX('03.Muestra'!$F$8:$F$42,SMALL(IF("Página Web"='03.Muestra'!$D$8:$D$42,ROW('03.Muestra'!$F$8:$F$42)-MIN(ROW('03.Muestra'!$D$8:$D$42))+1,""),ROW()-56)),"")</f>
        <v>https://www.bocm.es/autentificacion-verificacion</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Inicio/que-es-bocm</v>
      </c>
      <c r="C60" s="85" t="str" cm="1">
        <f t="array" ref="C60">IFERROR(INDEX('03.Muestra'!$F$8:$F$42,SMALL(IF("Página Web"='03.Muestra'!$D$8:$D$42,ROW('03.Muestra'!$F$8:$F$42)-MIN(ROW('03.Muestra'!$D$8:$D$42))+1,""),ROW()-56)),"")</f>
        <v>https://www.bocm.es/que-es-bocm</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Inicio/organismo-autonomo</v>
      </c>
      <c r="C61" s="85" t="str" cm="1">
        <f t="array" ref="C61">IFERROR(INDEX('03.Muestra'!$F$8:$F$42,SMALL(IF("Página Web"='03.Muestra'!$D$8:$D$42,ROW('03.Muestra'!$F$8:$F$42)-MIN(ROW('03.Muestra'!$D$8:$D$42))+1,""),ROW()-56)),"")</f>
        <v>https://www.bocm.es/organismo-autonomo</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Inicio/s/publicar-anuncio</v>
      </c>
      <c r="C62" s="85" t="str" cm="1">
        <f t="array" ref="C62">IFERROR(INDEX('03.Muestra'!$F$8:$F$42,SMALL(IF("Página Web"='03.Muestra'!$D$8:$D$42,ROW('03.Muestra'!$F$8:$F$42)-MIN(ROW('03.Muestra'!$D$8:$D$42))+1,""),ROW()-56)),"")</f>
        <v>https://www.bocm.es/publicar-anuncio</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Inicio/declaracion-de-accesibilidad</v>
      </c>
      <c r="C63" s="85" t="str" cm="1">
        <f t="array" ref="C63">IFERROR(INDEX('03.Muestra'!$F$8:$F$42,SMALL(IF("Página Web"='03.Muestra'!$D$8:$D$42,ROW('03.Muestra'!$F$8:$F$42)-MIN(ROW('03.Muestra'!$D$8:$D$42))+1,""),ROW()-56)),"")</f>
        <v>https://www.bocm.es/declaracion-de-accesibilidad</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https://www.bocm.es/</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Inicio/ultimo-bocm</v>
      </c>
      <c r="C96" s="85" t="str" cm="1">
        <f t="array" ref="C96">IFERROR(INDEX('03.Muestra'!$F$8:$F$42,SMALL(IF("Página Web"='03.Muestra'!$D$8:$D$42,ROW('03.Muestra'!$F$8:$F$42)-MIN(ROW('03.Muestra'!$D$8:$D$42))+1,""),ROW()-94)),"")</f>
        <v>https://www.bocm.es/ultimo-bocm</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Inicio/autentificacion-verificacion</v>
      </c>
      <c r="C97" s="85" t="str" cm="1">
        <f t="array" ref="C97">IFERROR(INDEX('03.Muestra'!$F$8:$F$42,SMALL(IF("Página Web"='03.Muestra'!$D$8:$D$42,ROW('03.Muestra'!$F$8:$F$42)-MIN(ROW('03.Muestra'!$D$8:$D$42))+1,""),ROW()-94)),"")</f>
        <v>https://www.bocm.es/autentificacion-verificacion</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Inicio/que-es-bocm</v>
      </c>
      <c r="C98" s="85" t="str" cm="1">
        <f t="array" ref="C98">IFERROR(INDEX('03.Muestra'!$F$8:$F$42,SMALL(IF("Página Web"='03.Muestra'!$D$8:$D$42,ROW('03.Muestra'!$F$8:$F$42)-MIN(ROW('03.Muestra'!$D$8:$D$42))+1,""),ROW()-94)),"")</f>
        <v>https://www.bocm.es/que-es-bocm</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Inicio/organismo-autonomo</v>
      </c>
      <c r="C99" s="85" t="str" cm="1">
        <f t="array" ref="C99">IFERROR(INDEX('03.Muestra'!$F$8:$F$42,SMALL(IF("Página Web"='03.Muestra'!$D$8:$D$42,ROW('03.Muestra'!$F$8:$F$42)-MIN(ROW('03.Muestra'!$D$8:$D$42))+1,""),ROW()-94)),"")</f>
        <v>https://www.bocm.es/organismo-autonomo</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Inicio/s/publicar-anuncio</v>
      </c>
      <c r="C100" s="85" t="str" cm="1">
        <f t="array" ref="C100">IFERROR(INDEX('03.Muestra'!$F$8:$F$42,SMALL(IF("Página Web"='03.Muestra'!$D$8:$D$42,ROW('03.Muestra'!$F$8:$F$42)-MIN(ROW('03.Muestra'!$D$8:$D$42))+1,""),ROW()-94)),"")</f>
        <v>https://www.bocm.es/publicar-anuncio</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Inicio/declaracion-de-accesibilidad</v>
      </c>
      <c r="C101" s="85" t="str" cm="1">
        <f t="array" ref="C101">IFERROR(INDEX('03.Muestra'!$F$8:$F$42,SMALL(IF("Página Web"='03.Muestra'!$D$8:$D$42,ROW('03.Muestra'!$F$8:$F$42)-MIN(ROW('03.Muestra'!$D$8:$D$42))+1,""),ROW()-94)),"")</f>
        <v>https://www.bocm.es/declaracion-de-accesibilidad</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https://www.bocm.es/</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Inicio/ultimo-bocm</v>
      </c>
      <c r="C134" s="85" t="str" cm="1">
        <f t="array" ref="C134">IFERROR(INDEX('03.Muestra'!$F$8:$F$42,SMALL(IF("Página Web"='03.Muestra'!$D$8:$D$42,ROW('03.Muestra'!$F$8:$F$42)-MIN(ROW('03.Muestra'!$D$8:$D$42))+1,""),ROW()-132)),"")</f>
        <v>https://www.bocm.es/ultimo-bocm</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Inicio/autentificacion-verificacion</v>
      </c>
      <c r="C135" s="85" t="str" cm="1">
        <f t="array" ref="C135">IFERROR(INDEX('03.Muestra'!$F$8:$F$42,SMALL(IF("Página Web"='03.Muestra'!$D$8:$D$42,ROW('03.Muestra'!$F$8:$F$42)-MIN(ROW('03.Muestra'!$D$8:$D$42))+1,""),ROW()-132)),"")</f>
        <v>https://www.bocm.es/autentificacion-verificacion</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Inicio/que-es-bocm</v>
      </c>
      <c r="C136" s="85" t="str" cm="1">
        <f t="array" ref="C136">IFERROR(INDEX('03.Muestra'!$F$8:$F$42,SMALL(IF("Página Web"='03.Muestra'!$D$8:$D$42,ROW('03.Muestra'!$F$8:$F$42)-MIN(ROW('03.Muestra'!$D$8:$D$42))+1,""),ROW()-132)),"")</f>
        <v>https://www.bocm.es/que-es-bocm</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Inicio/organismo-autonomo</v>
      </c>
      <c r="C137" s="85" t="str" cm="1">
        <f t="array" ref="C137">IFERROR(INDEX('03.Muestra'!$F$8:$F$42,SMALL(IF("Página Web"='03.Muestra'!$D$8:$D$42,ROW('03.Muestra'!$F$8:$F$42)-MIN(ROW('03.Muestra'!$D$8:$D$42))+1,""),ROW()-132)),"")</f>
        <v>https://www.bocm.es/organismo-autonomo</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Inicio/s/publicar-anuncio</v>
      </c>
      <c r="C138" s="85" t="str" cm="1">
        <f t="array" ref="C138">IFERROR(INDEX('03.Muestra'!$F$8:$F$42,SMALL(IF("Página Web"='03.Muestra'!$D$8:$D$42,ROW('03.Muestra'!$F$8:$F$42)-MIN(ROW('03.Muestra'!$D$8:$D$42))+1,""),ROW()-132)),"")</f>
        <v>https://www.bocm.es/publicar-anuncio</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Inicio/declaracion-de-accesibilidad</v>
      </c>
      <c r="C139" s="85" t="str" cm="1">
        <f t="array" ref="C139">IFERROR(INDEX('03.Muestra'!$F$8:$F$42,SMALL(IF("Página Web"='03.Muestra'!$D$8:$D$42,ROW('03.Muestra'!$F$8:$F$42)-MIN(ROW('03.Muestra'!$D$8:$D$42))+1,""),ROW()-132)),"")</f>
        <v>https://www.bocm.es/declaracion-de-accesibilidad</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https://www.bocm.es/</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Inicio/ultimo-bocm</v>
      </c>
      <c r="C172" s="85" t="str" cm="1">
        <f t="array" ref="C172">IFERROR(INDEX('03.Muestra'!$F$8:$F$42,SMALL(IF("Página Web"='03.Muestra'!$D$8:$D$42,ROW('03.Muestra'!$F$8:$F$42)-MIN(ROW('03.Muestra'!$D$8:$D$42))+1,""),ROW()-170)),"")</f>
        <v>https://www.bocm.es/ultimo-bocm</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Inicio/autentificacion-verificacion</v>
      </c>
      <c r="C173" s="85" t="str" cm="1">
        <f t="array" ref="C173">IFERROR(INDEX('03.Muestra'!$F$8:$F$42,SMALL(IF("Página Web"='03.Muestra'!$D$8:$D$42,ROW('03.Muestra'!$F$8:$F$42)-MIN(ROW('03.Muestra'!$D$8:$D$42))+1,""),ROW()-170)),"")</f>
        <v>https://www.bocm.es/autentificacion-verificacion</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Inicio/que-es-bocm</v>
      </c>
      <c r="C174" s="85" t="str" cm="1">
        <f t="array" ref="C174">IFERROR(INDEX('03.Muestra'!$F$8:$F$42,SMALL(IF("Página Web"='03.Muestra'!$D$8:$D$42,ROW('03.Muestra'!$F$8:$F$42)-MIN(ROW('03.Muestra'!$D$8:$D$42))+1,""),ROW()-170)),"")</f>
        <v>https://www.bocm.es/que-es-bocm</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Inicio/organismo-autonomo</v>
      </c>
      <c r="C175" s="85" t="str" cm="1">
        <f t="array" ref="C175">IFERROR(INDEX('03.Muestra'!$F$8:$F$42,SMALL(IF("Página Web"='03.Muestra'!$D$8:$D$42,ROW('03.Muestra'!$F$8:$F$42)-MIN(ROW('03.Muestra'!$D$8:$D$42))+1,""),ROW()-170)),"")</f>
        <v>https://www.bocm.es/organismo-autonomo</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Inicio/s/publicar-anuncio</v>
      </c>
      <c r="C176" s="85" t="str" cm="1">
        <f t="array" ref="C176">IFERROR(INDEX('03.Muestra'!$F$8:$F$42,SMALL(IF("Página Web"='03.Muestra'!$D$8:$D$42,ROW('03.Muestra'!$F$8:$F$42)-MIN(ROW('03.Muestra'!$D$8:$D$42))+1,""),ROW()-170)),"")</f>
        <v>https://www.bocm.es/publicar-anuncio</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Inicio/declaracion-de-accesibilidad</v>
      </c>
      <c r="C177" s="85" t="str" cm="1">
        <f t="array" ref="C177">IFERROR(INDEX('03.Muestra'!$F$8:$F$42,SMALL(IF("Página Web"='03.Muestra'!$D$8:$D$42,ROW('03.Muestra'!$F$8:$F$42)-MIN(ROW('03.Muestra'!$D$8:$D$42))+1,""),ROW()-170)),"")</f>
        <v>https://www.bocm.es/declaracion-de-accesibilidad</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https://www.bocm.es/</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Inicio/ultimo-bocm</v>
      </c>
      <c r="C210" s="85" t="str" cm="1">
        <f t="array" ref="C210">IFERROR(INDEX('03.Muestra'!$F$8:$F$42,SMALL(IF("Página Web"='03.Muestra'!$D$8:$D$42,ROW('03.Muestra'!$F$8:$F$42)-MIN(ROW('03.Muestra'!$D$8:$D$42))+1,""),ROW()-208)),"")</f>
        <v>https://www.bocm.es/ultimo-bocm</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7</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Inicio/autentificacion-verificacion</v>
      </c>
      <c r="C211" s="85" t="str" cm="1">
        <f t="array" ref="C211">IFERROR(INDEX('03.Muestra'!$F$8:$F$42,SMALL(IF("Página Web"='03.Muestra'!$D$8:$D$42,ROW('03.Muestra'!$F$8:$F$42)-MIN(ROW('03.Muestra'!$D$8:$D$42))+1,""),ROW()-208)),"")</f>
        <v>https://www.bocm.es/autentificacion-verificacion</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Inicio/que-es-bocm</v>
      </c>
      <c r="C212" s="85" t="str" cm="1">
        <f t="array" ref="C212">IFERROR(INDEX('03.Muestra'!$F$8:$F$42,SMALL(IF("Página Web"='03.Muestra'!$D$8:$D$42,ROW('03.Muestra'!$F$8:$F$42)-MIN(ROW('03.Muestra'!$D$8:$D$42))+1,""),ROW()-208)),"")</f>
        <v>https://www.bocm.es/que-es-bocm</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Inicio/organismo-autonomo</v>
      </c>
      <c r="C213" s="85" t="str" cm="1">
        <f t="array" ref="C213">IFERROR(INDEX('03.Muestra'!$F$8:$F$42,SMALL(IF("Página Web"='03.Muestra'!$D$8:$D$42,ROW('03.Muestra'!$F$8:$F$42)-MIN(ROW('03.Muestra'!$D$8:$D$42))+1,""),ROW()-208)),"")</f>
        <v>https://www.bocm.es/organismo-autonomo</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Inicio/s/publicar-anuncio</v>
      </c>
      <c r="C214" s="85" t="str" cm="1">
        <f t="array" ref="C214">IFERROR(INDEX('03.Muestra'!$F$8:$F$42,SMALL(IF("Página Web"='03.Muestra'!$D$8:$D$42,ROW('03.Muestra'!$F$8:$F$42)-MIN(ROW('03.Muestra'!$D$8:$D$42))+1,""),ROW()-208)),"")</f>
        <v>https://www.bocm.es/publicar-anuncio</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Inicio/declaracion-de-accesibilidad</v>
      </c>
      <c r="C215" s="85" t="str" cm="1">
        <f t="array" ref="C215">IFERROR(INDEX('03.Muestra'!$F$8:$F$42,SMALL(IF("Página Web"='03.Muestra'!$D$8:$D$42,ROW('03.Muestra'!$F$8:$F$42)-MIN(ROW('03.Muestra'!$D$8:$D$42))+1,""),ROW()-208)),"")</f>
        <v>https://www.bocm.es/declaracion-de-accesibilidad</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https://www.bocm.es/</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Inicio/ultimo-bocm</v>
      </c>
      <c r="C248" s="85" t="str" cm="1">
        <f t="array" ref="C248">IFERROR(INDEX('03.Muestra'!$F$8:$F$42,SMALL(IF("Página Web"='03.Muestra'!$D$8:$D$42,ROW('03.Muestra'!$F$8:$F$42)-MIN(ROW('03.Muestra'!$D$8:$D$42))+1,""),ROW()-246)),"")</f>
        <v>https://www.bocm.es/ultimo-bocm</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7</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Inicio/autentificacion-verificacion</v>
      </c>
      <c r="C249" s="85" t="str" cm="1">
        <f t="array" ref="C249">IFERROR(INDEX('03.Muestra'!$F$8:$F$42,SMALL(IF("Página Web"='03.Muestra'!$D$8:$D$42,ROW('03.Muestra'!$F$8:$F$42)-MIN(ROW('03.Muestra'!$D$8:$D$42))+1,""),ROW()-246)),"")</f>
        <v>https://www.bocm.es/autentificacion-verificacion</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Inicio/que-es-bocm</v>
      </c>
      <c r="C250" s="85" t="str" cm="1">
        <f t="array" ref="C250">IFERROR(INDEX('03.Muestra'!$F$8:$F$42,SMALL(IF("Página Web"='03.Muestra'!$D$8:$D$42,ROW('03.Muestra'!$F$8:$F$42)-MIN(ROW('03.Muestra'!$D$8:$D$42))+1,""),ROW()-246)),"")</f>
        <v>https://www.bocm.es/que-es-bocm</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Inicio/organismo-autonomo</v>
      </c>
      <c r="C251" s="85" t="str" cm="1">
        <f t="array" ref="C251">IFERROR(INDEX('03.Muestra'!$F$8:$F$42,SMALL(IF("Página Web"='03.Muestra'!$D$8:$D$42,ROW('03.Muestra'!$F$8:$F$42)-MIN(ROW('03.Muestra'!$D$8:$D$42))+1,""),ROW()-246)),"")</f>
        <v>https://www.bocm.es/organismo-autonomo</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Inicio/s/publicar-anuncio</v>
      </c>
      <c r="C252" s="85" t="str" cm="1">
        <f t="array" ref="C252">IFERROR(INDEX('03.Muestra'!$F$8:$F$42,SMALL(IF("Página Web"='03.Muestra'!$D$8:$D$42,ROW('03.Muestra'!$F$8:$F$42)-MIN(ROW('03.Muestra'!$D$8:$D$42))+1,""),ROW()-246)),"")</f>
        <v>https://www.bocm.es/publicar-anuncio</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Inicio/declaracion-de-accesibilidad</v>
      </c>
      <c r="C253" s="85" t="str" cm="1">
        <f t="array" ref="C253">IFERROR(INDEX('03.Muestra'!$F$8:$F$42,SMALL(IF("Página Web"='03.Muestra'!$D$8:$D$42,ROW('03.Muestra'!$F$8:$F$42)-MIN(ROW('03.Muestra'!$D$8:$D$42))+1,""),ROW()-246)),"")</f>
        <v>https://www.bocm.es/declaracion-de-accesibilidad</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ref="D254:D281" si="13">IF(AND(B254&lt;&gt;"",C254&lt;&gt;""),"N/T","")</f>
        <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https://www.bocm.es/</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Inicio/ultimo-bocm</v>
      </c>
      <c r="C286" s="85" t="str" cm="1">
        <f t="array" ref="C286">IFERROR(INDEX('03.Muestra'!$F$8:$F$42,SMALL(IF("Página Web"='03.Muestra'!$D$8:$D$42,ROW('03.Muestra'!$F$8:$F$42)-MIN(ROW('03.Muestra'!$D$8:$D$42))+1,""),ROW()-284)),"")</f>
        <v>https://www.bocm.es/ultimo-bocm</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7</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Inicio/autentificacion-verificacion</v>
      </c>
      <c r="C287" s="85" t="str" cm="1">
        <f t="array" ref="C287">IFERROR(INDEX('03.Muestra'!$F$8:$F$42,SMALL(IF("Página Web"='03.Muestra'!$D$8:$D$42,ROW('03.Muestra'!$F$8:$F$42)-MIN(ROW('03.Muestra'!$D$8:$D$42))+1,""),ROW()-284)),"")</f>
        <v>https://www.bocm.es/autentificacion-verificacion</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Inicio/que-es-bocm</v>
      </c>
      <c r="C288" s="85" t="str" cm="1">
        <f t="array" ref="C288">IFERROR(INDEX('03.Muestra'!$F$8:$F$42,SMALL(IF("Página Web"='03.Muestra'!$D$8:$D$42,ROW('03.Muestra'!$F$8:$F$42)-MIN(ROW('03.Muestra'!$D$8:$D$42))+1,""),ROW()-284)),"")</f>
        <v>https://www.bocm.es/que-es-bocm</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Inicio/organismo-autonomo</v>
      </c>
      <c r="C289" s="85" t="str" cm="1">
        <f t="array" ref="C289">IFERROR(INDEX('03.Muestra'!$F$8:$F$42,SMALL(IF("Página Web"='03.Muestra'!$D$8:$D$42,ROW('03.Muestra'!$F$8:$F$42)-MIN(ROW('03.Muestra'!$D$8:$D$42))+1,""),ROW()-284)),"")</f>
        <v>https://www.bocm.es/organismo-autonomo</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Inicio/s/publicar-anuncio</v>
      </c>
      <c r="C290" s="85" t="str" cm="1">
        <f t="array" ref="C290">IFERROR(INDEX('03.Muestra'!$F$8:$F$42,SMALL(IF("Página Web"='03.Muestra'!$D$8:$D$42,ROW('03.Muestra'!$F$8:$F$42)-MIN(ROW('03.Muestra'!$D$8:$D$42))+1,""),ROW()-284)),"")</f>
        <v>https://www.bocm.es/publicar-anuncio</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Inicio/declaracion-de-accesibilidad</v>
      </c>
      <c r="C291" s="85" t="str" cm="1">
        <f t="array" ref="C291">IFERROR(INDEX('03.Muestra'!$F$8:$F$42,SMALL(IF("Página Web"='03.Muestra'!$D$8:$D$42,ROW('03.Muestra'!$F$8:$F$42)-MIN(ROW('03.Muestra'!$D$8:$D$42))+1,""),ROW()-284)),"")</f>
        <v>https://www.bocm.es/declaracion-de-accesibilidad</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ref="D292:D319" si="15">IF(AND(B292&lt;&gt;"",C292&lt;&gt;""),"N/T","")</f>
        <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https://www.bocm.es/</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Inicio/ultimo-bocm</v>
      </c>
      <c r="C324" s="85" t="str" cm="1">
        <f t="array" ref="C324">IFERROR(INDEX('03.Muestra'!$F$8:$F$42,SMALL(IF("Página Web"='03.Muestra'!$D$8:$D$42,ROW('03.Muestra'!$F$8:$F$42)-MIN(ROW('03.Muestra'!$D$8:$D$42))+1,""),ROW()-322)),"")</f>
        <v>https://www.bocm.es/ultimo-bocm</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7</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Inicio/autentificacion-verificacion</v>
      </c>
      <c r="C325" s="85" t="str" cm="1">
        <f t="array" ref="C325">IFERROR(INDEX('03.Muestra'!$F$8:$F$42,SMALL(IF("Página Web"='03.Muestra'!$D$8:$D$42,ROW('03.Muestra'!$F$8:$F$42)-MIN(ROW('03.Muestra'!$D$8:$D$42))+1,""),ROW()-322)),"")</f>
        <v>https://www.bocm.es/autentificacion-verificacion</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Inicio/que-es-bocm</v>
      </c>
      <c r="C326" s="85" t="str" cm="1">
        <f t="array" ref="C326">IFERROR(INDEX('03.Muestra'!$F$8:$F$42,SMALL(IF("Página Web"='03.Muestra'!$D$8:$D$42,ROW('03.Muestra'!$F$8:$F$42)-MIN(ROW('03.Muestra'!$D$8:$D$42))+1,""),ROW()-322)),"")</f>
        <v>https://www.bocm.es/que-es-bocm</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Inicio/organismo-autonomo</v>
      </c>
      <c r="C327" s="85" t="str" cm="1">
        <f t="array" ref="C327">IFERROR(INDEX('03.Muestra'!$F$8:$F$42,SMALL(IF("Página Web"='03.Muestra'!$D$8:$D$42,ROW('03.Muestra'!$F$8:$F$42)-MIN(ROW('03.Muestra'!$D$8:$D$42))+1,""),ROW()-322)),"")</f>
        <v>https://www.bocm.es/organismo-autonomo</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Inicio/s/publicar-anuncio</v>
      </c>
      <c r="C328" s="85" t="str" cm="1">
        <f t="array" ref="C328">IFERROR(INDEX('03.Muestra'!$F$8:$F$42,SMALL(IF("Página Web"='03.Muestra'!$D$8:$D$42,ROW('03.Muestra'!$F$8:$F$42)-MIN(ROW('03.Muestra'!$D$8:$D$42))+1,""),ROW()-322)),"")</f>
        <v>https://www.bocm.es/publicar-anuncio</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Inicio/declaracion-de-accesibilidad</v>
      </c>
      <c r="C329" s="85" t="str" cm="1">
        <f t="array" ref="C329">IFERROR(INDEX('03.Muestra'!$F$8:$F$42,SMALL(IF("Página Web"='03.Muestra'!$D$8:$D$42,ROW('03.Muestra'!$F$8:$F$42)-MIN(ROW('03.Muestra'!$D$8:$D$42))+1,""),ROW()-322)),"")</f>
        <v>https://www.bocm.es/declaracion-de-accesibilidad</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ref="D330:D357" si="17">IF(AND(B330&lt;&gt;"",C330&lt;&gt;""),"N/T","")</f>
        <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https://www.bocm.es/</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Inicio/ultimo-bocm</v>
      </c>
      <c r="C362" s="85" t="str" cm="1">
        <f t="array" ref="C362">IFERROR(INDEX('03.Muestra'!$F$8:$F$42,SMALL(IF("Página Web"='03.Muestra'!$D$8:$D$42,ROW('03.Muestra'!$F$8:$F$42)-MIN(ROW('03.Muestra'!$D$8:$D$42))+1,""),ROW()-360)),"")</f>
        <v>https://www.bocm.es/ultimo-bocm</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7</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Inicio/autentificacion-verificacion</v>
      </c>
      <c r="C363" s="85" t="str" cm="1">
        <f t="array" ref="C363">IFERROR(INDEX('03.Muestra'!$F$8:$F$42,SMALL(IF("Página Web"='03.Muestra'!$D$8:$D$42,ROW('03.Muestra'!$F$8:$F$42)-MIN(ROW('03.Muestra'!$D$8:$D$42))+1,""),ROW()-360)),"")</f>
        <v>https://www.bocm.es/autentificacion-verificacion</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Inicio/que-es-bocm</v>
      </c>
      <c r="C364" s="85" t="str" cm="1">
        <f t="array" ref="C364">IFERROR(INDEX('03.Muestra'!$F$8:$F$42,SMALL(IF("Página Web"='03.Muestra'!$D$8:$D$42,ROW('03.Muestra'!$F$8:$F$42)-MIN(ROW('03.Muestra'!$D$8:$D$42))+1,""),ROW()-360)),"")</f>
        <v>https://www.bocm.es/que-es-bocm</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Inicio/organismo-autonomo</v>
      </c>
      <c r="C365" s="85" t="str" cm="1">
        <f t="array" ref="C365">IFERROR(INDEX('03.Muestra'!$F$8:$F$42,SMALL(IF("Página Web"='03.Muestra'!$D$8:$D$42,ROW('03.Muestra'!$F$8:$F$42)-MIN(ROW('03.Muestra'!$D$8:$D$42))+1,""),ROW()-360)),"")</f>
        <v>https://www.bocm.es/organismo-autonomo</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Inicio/s/publicar-anuncio</v>
      </c>
      <c r="C366" s="85" t="str" cm="1">
        <f t="array" ref="C366">IFERROR(INDEX('03.Muestra'!$F$8:$F$42,SMALL(IF("Página Web"='03.Muestra'!$D$8:$D$42,ROW('03.Muestra'!$F$8:$F$42)-MIN(ROW('03.Muestra'!$D$8:$D$42))+1,""),ROW()-360)),"")</f>
        <v>https://www.bocm.es/publicar-anuncio</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Inicio/declaracion-de-accesibilidad</v>
      </c>
      <c r="C367" s="85" t="str" cm="1">
        <f t="array" ref="C367">IFERROR(INDEX('03.Muestra'!$F$8:$F$42,SMALL(IF("Página Web"='03.Muestra'!$D$8:$D$42,ROW('03.Muestra'!$F$8:$F$42)-MIN(ROW('03.Muestra'!$D$8:$D$42))+1,""),ROW()-360)),"")</f>
        <v>https://www.bocm.es/declaracion-de-accesibilidad</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IFERROR(INDEX('03.Muestra'!$B$8:$B$42,SMALL(IF("Página Web"='03.Muestra'!$D$8:$D$42,ROW('03.Muestra'!$B$8:$B$42)-MIN(ROW('03.Muestra'!$D$8:$D$42))+1,""),ROW()-360)),"")</f>
        <v/>
      </c>
      <c r="B368" s="85" t="str" cm="1">
        <f t="array" ref="B368">IFERROR(INDEX('03.Muestra'!$C$8:$C$42,SMALL(IF("Página Web"='03.Muestra'!$D$8:$D$42,ROW('03.Muestra'!$C$8:$C$42)-MIN(ROW('03.Muestra'!$D$8:$D$42))+1,""),ROW()-360)),"")</f>
        <v/>
      </c>
      <c r="C368" s="85" t="str" cm="1">
        <f t="array" ref="C368">IFERROR(INDEX('03.Muestra'!$F$8:$F$42,SMALL(IF("Página Web"='03.Muestra'!$D$8:$D$42,ROW('03.Muestra'!$F$8:$F$42)-MIN(ROW('03.Muestra'!$D$8:$D$42))+1,""),ROW()-360)),"")</f>
        <v/>
      </c>
      <c r="D368" s="99" t="str">
        <f t="shared" ref="D368:D395" si="19">IF(AND(B368&lt;&gt;"",C368&lt;&gt;""),"N/T","")</f>
        <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si="19"/>
        <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https://www.bocm.es/</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Inicio/ultimo-bocm</v>
      </c>
      <c r="C400" s="85" t="str" cm="1">
        <f t="array" ref="C400">IFERROR(INDEX('03.Muestra'!$F$8:$F$42,SMALL(IF("Página Web"='03.Muestra'!$D$8:$D$42,ROW('03.Muestra'!$F$8:$F$42)-MIN(ROW('03.Muestra'!$D$8:$D$42))+1,""),ROW()-398)),"")</f>
        <v>https://www.bocm.es/ultimo-bocm</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7</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Inicio/autentificacion-verificacion</v>
      </c>
      <c r="C401" s="85" t="str" cm="1">
        <f t="array" ref="C401">IFERROR(INDEX('03.Muestra'!$F$8:$F$42,SMALL(IF("Página Web"='03.Muestra'!$D$8:$D$42,ROW('03.Muestra'!$F$8:$F$42)-MIN(ROW('03.Muestra'!$D$8:$D$42))+1,""),ROW()-398)),"")</f>
        <v>https://www.bocm.es/autentificacion-verificacion</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Inicio/que-es-bocm</v>
      </c>
      <c r="C402" s="85" t="str" cm="1">
        <f t="array" ref="C402">IFERROR(INDEX('03.Muestra'!$F$8:$F$42,SMALL(IF("Página Web"='03.Muestra'!$D$8:$D$42,ROW('03.Muestra'!$F$8:$F$42)-MIN(ROW('03.Muestra'!$D$8:$D$42))+1,""),ROW()-398)),"")</f>
        <v>https://www.bocm.es/que-es-bocm</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Inicio/organismo-autonomo</v>
      </c>
      <c r="C403" s="85" t="str" cm="1">
        <f t="array" ref="C403">IFERROR(INDEX('03.Muestra'!$F$8:$F$42,SMALL(IF("Página Web"='03.Muestra'!$D$8:$D$42,ROW('03.Muestra'!$F$8:$F$42)-MIN(ROW('03.Muestra'!$D$8:$D$42))+1,""),ROW()-398)),"")</f>
        <v>https://www.bocm.es/organismo-autonomo</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Inicio/s/publicar-anuncio</v>
      </c>
      <c r="C404" s="85" t="str" cm="1">
        <f t="array" ref="C404">IFERROR(INDEX('03.Muestra'!$F$8:$F$42,SMALL(IF("Página Web"='03.Muestra'!$D$8:$D$42,ROW('03.Muestra'!$F$8:$F$42)-MIN(ROW('03.Muestra'!$D$8:$D$42))+1,""),ROW()-398)),"")</f>
        <v>https://www.bocm.es/publicar-anuncio</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Inicio/declaracion-de-accesibilidad</v>
      </c>
      <c r="C405" s="85" t="str" cm="1">
        <f t="array" ref="C405">IFERROR(INDEX('03.Muestra'!$F$8:$F$42,SMALL(IF("Página Web"='03.Muestra'!$D$8:$D$42,ROW('03.Muestra'!$F$8:$F$42)-MIN(ROW('03.Muestra'!$D$8:$D$42))+1,""),ROW()-398)),"")</f>
        <v>https://www.bocm.es/declaracion-de-accesibilidad</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IFERROR(INDEX('03.Muestra'!$B$8:$B$42,SMALL(IF("Página Web"='03.Muestra'!$D$8:$D$42,ROW('03.Muestra'!$B$8:$B$42)-MIN(ROW('03.Muestra'!$D$8:$D$42))+1,""),ROW()-398)),"")</f>
        <v/>
      </c>
      <c r="B406" s="85" t="str" cm="1">
        <f t="array" ref="B406">IFERROR(INDEX('03.Muestra'!$C$8:$C$42,SMALL(IF("Página Web"='03.Muestra'!$D$8:$D$42,ROW('03.Muestra'!$C$8:$C$42)-MIN(ROW('03.Muestra'!$D$8:$D$42))+1,""),ROW()-398)),"")</f>
        <v/>
      </c>
      <c r="C406" s="85" t="str" cm="1">
        <f t="array" ref="C406">IFERROR(INDEX('03.Muestra'!$F$8:$F$42,SMALL(IF("Página Web"='03.Muestra'!$D$8:$D$42,ROW('03.Muestra'!$F$8:$F$42)-MIN(ROW('03.Muestra'!$D$8:$D$42))+1,""),ROW()-398)),"")</f>
        <v/>
      </c>
      <c r="D406" s="99" t="str">
        <f t="shared" ref="D406:D433" si="21">IF(AND(B406&lt;&gt;"",C406&lt;&gt;""),"N/T","")</f>
        <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si="21"/>
        <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https://www.bocm.es/</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Inicio/ultimo-bocm</v>
      </c>
      <c r="C438" s="85" t="str" cm="1">
        <f t="array" ref="C438">IFERROR(INDEX('03.Muestra'!$F$8:$F$42,SMALL(IF("Página Web"='03.Muestra'!$D$8:$D$42,ROW('03.Muestra'!$F$8:$F$42)-MIN(ROW('03.Muestra'!$D$8:$D$42))+1,""),ROW()-436)),"")</f>
        <v>https://www.bocm.es/ultimo-bocm</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7</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Inicio/autentificacion-verificacion</v>
      </c>
      <c r="C439" s="85" t="str" cm="1">
        <f t="array" ref="C439">IFERROR(INDEX('03.Muestra'!$F$8:$F$42,SMALL(IF("Página Web"='03.Muestra'!$D$8:$D$42,ROW('03.Muestra'!$F$8:$F$42)-MIN(ROW('03.Muestra'!$D$8:$D$42))+1,""),ROW()-436)),"")</f>
        <v>https://www.bocm.es/autentificacion-verificacion</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Inicio/que-es-bocm</v>
      </c>
      <c r="C440" s="85" t="str" cm="1">
        <f t="array" ref="C440">IFERROR(INDEX('03.Muestra'!$F$8:$F$42,SMALL(IF("Página Web"='03.Muestra'!$D$8:$D$42,ROW('03.Muestra'!$F$8:$F$42)-MIN(ROW('03.Muestra'!$D$8:$D$42))+1,""),ROW()-436)),"")</f>
        <v>https://www.bocm.es/que-es-bocm</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Inicio/organismo-autonomo</v>
      </c>
      <c r="C441" s="85" t="str" cm="1">
        <f t="array" ref="C441">IFERROR(INDEX('03.Muestra'!$F$8:$F$42,SMALL(IF("Página Web"='03.Muestra'!$D$8:$D$42,ROW('03.Muestra'!$F$8:$F$42)-MIN(ROW('03.Muestra'!$D$8:$D$42))+1,""),ROW()-436)),"")</f>
        <v>https://www.bocm.es/organismo-autonomo</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Inicio/s/publicar-anuncio</v>
      </c>
      <c r="C442" s="85" t="str" cm="1">
        <f t="array" ref="C442">IFERROR(INDEX('03.Muestra'!$F$8:$F$42,SMALL(IF("Página Web"='03.Muestra'!$D$8:$D$42,ROW('03.Muestra'!$F$8:$F$42)-MIN(ROW('03.Muestra'!$D$8:$D$42))+1,""),ROW()-436)),"")</f>
        <v>https://www.bocm.es/publicar-anuncio</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Inicio/declaracion-de-accesibilidad</v>
      </c>
      <c r="C443" s="85" t="str" cm="1">
        <f t="array" ref="C443">IFERROR(INDEX('03.Muestra'!$F$8:$F$42,SMALL(IF("Página Web"='03.Muestra'!$D$8:$D$42,ROW('03.Muestra'!$F$8:$F$42)-MIN(ROW('03.Muestra'!$D$8:$D$42))+1,""),ROW()-436)),"")</f>
        <v>https://www.bocm.es/declaracion-de-accesibilidad</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IFERROR(INDEX('03.Muestra'!$B$8:$B$42,SMALL(IF("Página Web"='03.Muestra'!$D$8:$D$42,ROW('03.Muestra'!$B$8:$B$42)-MIN(ROW('03.Muestra'!$D$8:$D$42))+1,""),ROW()-436)),"")</f>
        <v/>
      </c>
      <c r="B444" s="85" t="str" cm="1">
        <f t="array" ref="B444">IFERROR(INDEX('03.Muestra'!$C$8:$C$42,SMALL(IF("Página Web"='03.Muestra'!$D$8:$D$42,ROW('03.Muestra'!$C$8:$C$42)-MIN(ROW('03.Muestra'!$D$8:$D$42))+1,""),ROW()-436)),"")</f>
        <v/>
      </c>
      <c r="C444" s="85" t="str" cm="1">
        <f t="array" ref="C444">IFERROR(INDEX('03.Muestra'!$F$8:$F$42,SMALL(IF("Página Web"='03.Muestra'!$D$8:$D$42,ROW('03.Muestra'!$F$8:$F$42)-MIN(ROW('03.Muestra'!$D$8:$D$42))+1,""),ROW()-436)),"")</f>
        <v/>
      </c>
      <c r="D444" s="99" t="str">
        <f t="shared" ref="D444:D471" si="23">IF(AND(B444&lt;&gt;"",C444&lt;&gt;""),"N/T","")</f>
        <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si="23"/>
        <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https://www.bocm.es/</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Inicio/ultimo-bocm</v>
      </c>
      <c r="C476" s="85" t="str" cm="1">
        <f t="array" ref="C476">IFERROR(INDEX('03.Muestra'!$F$8:$F$42,SMALL(IF("Página Web"='03.Muestra'!$D$8:$D$42,ROW('03.Muestra'!$F$8:$F$42)-MIN(ROW('03.Muestra'!$D$8:$D$42))+1,""),ROW()-474)),"")</f>
        <v>https://www.bocm.es/ultimo-bocm</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7</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Inicio/autentificacion-verificacion</v>
      </c>
      <c r="C477" s="85" t="str" cm="1">
        <f t="array" ref="C477">IFERROR(INDEX('03.Muestra'!$F$8:$F$42,SMALL(IF("Página Web"='03.Muestra'!$D$8:$D$42,ROW('03.Muestra'!$F$8:$F$42)-MIN(ROW('03.Muestra'!$D$8:$D$42))+1,""),ROW()-474)),"")</f>
        <v>https://www.bocm.es/autentificacion-verificacion</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Inicio/que-es-bocm</v>
      </c>
      <c r="C478" s="85" t="str" cm="1">
        <f t="array" ref="C478">IFERROR(INDEX('03.Muestra'!$F$8:$F$42,SMALL(IF("Página Web"='03.Muestra'!$D$8:$D$42,ROW('03.Muestra'!$F$8:$F$42)-MIN(ROW('03.Muestra'!$D$8:$D$42))+1,""),ROW()-474)),"")</f>
        <v>https://www.bocm.es/que-es-bocm</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Inicio/organismo-autonomo</v>
      </c>
      <c r="C479" s="85" t="str" cm="1">
        <f t="array" ref="C479">IFERROR(INDEX('03.Muestra'!$F$8:$F$42,SMALL(IF("Página Web"='03.Muestra'!$D$8:$D$42,ROW('03.Muestra'!$F$8:$F$42)-MIN(ROW('03.Muestra'!$D$8:$D$42))+1,""),ROW()-474)),"")</f>
        <v>https://www.bocm.es/organismo-autonomo</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Inicio/s/publicar-anuncio</v>
      </c>
      <c r="C480" s="85" t="str" cm="1">
        <f t="array" ref="C480">IFERROR(INDEX('03.Muestra'!$F$8:$F$42,SMALL(IF("Página Web"='03.Muestra'!$D$8:$D$42,ROW('03.Muestra'!$F$8:$F$42)-MIN(ROW('03.Muestra'!$D$8:$D$42))+1,""),ROW()-474)),"")</f>
        <v>https://www.bocm.es/publicar-anuncio</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Inicio/declaracion-de-accesibilidad</v>
      </c>
      <c r="C481" s="85" t="str" cm="1">
        <f t="array" ref="C481">IFERROR(INDEX('03.Muestra'!$F$8:$F$42,SMALL(IF("Página Web"='03.Muestra'!$D$8:$D$42,ROW('03.Muestra'!$F$8:$F$42)-MIN(ROW('03.Muestra'!$D$8:$D$42))+1,""),ROW()-474)),"")</f>
        <v>https://www.bocm.es/declaracion-de-accesibilidad</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IFERROR(INDEX('03.Muestra'!$B$8:$B$42,SMALL(IF("Página Web"='03.Muestra'!$D$8:$D$42,ROW('03.Muestra'!$B$8:$B$42)-MIN(ROW('03.Muestra'!$D$8:$D$42))+1,""),ROW()-474)),"")</f>
        <v/>
      </c>
      <c r="B482" s="85" t="str" cm="1">
        <f t="array" ref="B482">IFERROR(INDEX('03.Muestra'!$C$8:$C$42,SMALL(IF("Página Web"='03.Muestra'!$D$8:$D$42,ROW('03.Muestra'!$C$8:$C$42)-MIN(ROW('03.Muestra'!$D$8:$D$42))+1,""),ROW()-474)),"")</f>
        <v/>
      </c>
      <c r="C482" s="85" t="str" cm="1">
        <f t="array" ref="C482">IFERROR(INDEX('03.Muestra'!$F$8:$F$42,SMALL(IF("Página Web"='03.Muestra'!$D$8:$D$42,ROW('03.Muestra'!$F$8:$F$42)-MIN(ROW('03.Muestra'!$D$8:$D$42))+1,""),ROW()-474)),"")</f>
        <v/>
      </c>
      <c r="D482" s="99" t="str">
        <f t="shared" ref="D482:D509" si="25">IF(AND(B482&lt;&gt;"",C482&lt;&gt;""),"N/T","")</f>
        <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si="25"/>
        <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https://www.bocm.es/</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Inicio/ultimo-bocm</v>
      </c>
      <c r="C514" s="85" t="str" cm="1">
        <f t="array" ref="C514">IFERROR(INDEX('03.Muestra'!$F$8:$F$42,SMALL(IF("Página Web"='03.Muestra'!$D$8:$D$42,ROW('03.Muestra'!$F$8:$F$42)-MIN(ROW('03.Muestra'!$D$8:$D$42))+1,""),ROW()-512)),"")</f>
        <v>https://www.bocm.es/ultimo-bocm</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7</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Inicio/autentificacion-verificacion</v>
      </c>
      <c r="C515" s="85" t="str" cm="1">
        <f t="array" ref="C515">IFERROR(INDEX('03.Muestra'!$F$8:$F$42,SMALL(IF("Página Web"='03.Muestra'!$D$8:$D$42,ROW('03.Muestra'!$F$8:$F$42)-MIN(ROW('03.Muestra'!$D$8:$D$42))+1,""),ROW()-512)),"")</f>
        <v>https://www.bocm.es/autentificacion-verificacion</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Inicio/que-es-bocm</v>
      </c>
      <c r="C516" s="85" t="str" cm="1">
        <f t="array" ref="C516">IFERROR(INDEX('03.Muestra'!$F$8:$F$42,SMALL(IF("Página Web"='03.Muestra'!$D$8:$D$42,ROW('03.Muestra'!$F$8:$F$42)-MIN(ROW('03.Muestra'!$D$8:$D$42))+1,""),ROW()-512)),"")</f>
        <v>https://www.bocm.es/que-es-bocm</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Inicio/organismo-autonomo</v>
      </c>
      <c r="C517" s="85" t="str" cm="1">
        <f t="array" ref="C517">IFERROR(INDEX('03.Muestra'!$F$8:$F$42,SMALL(IF("Página Web"='03.Muestra'!$D$8:$D$42,ROW('03.Muestra'!$F$8:$F$42)-MIN(ROW('03.Muestra'!$D$8:$D$42))+1,""),ROW()-512)),"")</f>
        <v>https://www.bocm.es/organismo-autonomo</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Inicio/s/publicar-anuncio</v>
      </c>
      <c r="C518" s="85" t="str" cm="1">
        <f t="array" ref="C518">IFERROR(INDEX('03.Muestra'!$F$8:$F$42,SMALL(IF("Página Web"='03.Muestra'!$D$8:$D$42,ROW('03.Muestra'!$F$8:$F$42)-MIN(ROW('03.Muestra'!$D$8:$D$42))+1,""),ROW()-512)),"")</f>
        <v>https://www.bocm.es/publicar-anuncio</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Inicio/declaracion-de-accesibilidad</v>
      </c>
      <c r="C519" s="85" t="str" cm="1">
        <f t="array" ref="C519">IFERROR(INDEX('03.Muestra'!$F$8:$F$42,SMALL(IF("Página Web"='03.Muestra'!$D$8:$D$42,ROW('03.Muestra'!$F$8:$F$42)-MIN(ROW('03.Muestra'!$D$8:$D$42))+1,""),ROW()-512)),"")</f>
        <v>https://www.bocm.es/declaracion-de-accesibilidad</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IFERROR(INDEX('03.Muestra'!$B$8:$B$42,SMALL(IF("Página Web"='03.Muestra'!$D$8:$D$42,ROW('03.Muestra'!$B$8:$B$42)-MIN(ROW('03.Muestra'!$D$8:$D$42))+1,""),ROW()-512)),"")</f>
        <v/>
      </c>
      <c r="B520" s="85" t="str" cm="1">
        <f t="array" ref="B520">IFERROR(INDEX('03.Muestra'!$C$8:$C$42,SMALL(IF("Página Web"='03.Muestra'!$D$8:$D$42,ROW('03.Muestra'!$C$8:$C$42)-MIN(ROW('03.Muestra'!$D$8:$D$42))+1,""),ROW()-512)),"")</f>
        <v/>
      </c>
      <c r="C520" s="85" t="str" cm="1">
        <f t="array" ref="C520">IFERROR(INDEX('03.Muestra'!$F$8:$F$42,SMALL(IF("Página Web"='03.Muestra'!$D$8:$D$42,ROW('03.Muestra'!$F$8:$F$42)-MIN(ROW('03.Muestra'!$D$8:$D$42))+1,""),ROW()-512)),"")</f>
        <v/>
      </c>
      <c r="D520" s="99" t="str">
        <f t="shared" ref="D520:D547" si="27">IF(AND(B520&lt;&gt;"",C520&lt;&gt;""),"N/T","")</f>
        <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si="27"/>
        <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https://www.bocm.es/</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Inicio/ultimo-bocm</v>
      </c>
      <c r="C552" s="85" t="str" cm="1">
        <f t="array" ref="C552">IFERROR(INDEX('03.Muestra'!$F$8:$F$42,SMALL(IF("Página Web"='03.Muestra'!$D$8:$D$42,ROW('03.Muestra'!$F$8:$F$42)-MIN(ROW('03.Muestra'!$D$8:$D$42))+1,""),ROW()-550)),"")</f>
        <v>https://www.bocm.es/ultimo-bocm</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7</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Inicio/autentificacion-verificacion</v>
      </c>
      <c r="C553" s="85" t="str" cm="1">
        <f t="array" ref="C553">IFERROR(INDEX('03.Muestra'!$F$8:$F$42,SMALL(IF("Página Web"='03.Muestra'!$D$8:$D$42,ROW('03.Muestra'!$F$8:$F$42)-MIN(ROW('03.Muestra'!$D$8:$D$42))+1,""),ROW()-550)),"")</f>
        <v>https://www.bocm.es/autentificacion-verificacion</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Inicio/que-es-bocm</v>
      </c>
      <c r="C554" s="85" t="str" cm="1">
        <f t="array" ref="C554">IFERROR(INDEX('03.Muestra'!$F$8:$F$42,SMALL(IF("Página Web"='03.Muestra'!$D$8:$D$42,ROW('03.Muestra'!$F$8:$F$42)-MIN(ROW('03.Muestra'!$D$8:$D$42))+1,""),ROW()-550)),"")</f>
        <v>https://www.bocm.es/que-es-bocm</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Inicio/organismo-autonomo</v>
      </c>
      <c r="C555" s="85" t="str" cm="1">
        <f t="array" ref="C555">IFERROR(INDEX('03.Muestra'!$F$8:$F$42,SMALL(IF("Página Web"='03.Muestra'!$D$8:$D$42,ROW('03.Muestra'!$F$8:$F$42)-MIN(ROW('03.Muestra'!$D$8:$D$42))+1,""),ROW()-550)),"")</f>
        <v>https://www.bocm.es/organismo-autonomo</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Inicio/s/publicar-anuncio</v>
      </c>
      <c r="C556" s="85" t="str" cm="1">
        <f t="array" ref="C556">IFERROR(INDEX('03.Muestra'!$F$8:$F$42,SMALL(IF("Página Web"='03.Muestra'!$D$8:$D$42,ROW('03.Muestra'!$F$8:$F$42)-MIN(ROW('03.Muestra'!$D$8:$D$42))+1,""),ROW()-550)),"")</f>
        <v>https://www.bocm.es/publicar-anuncio</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Inicio/declaracion-de-accesibilidad</v>
      </c>
      <c r="C557" s="85" t="str" cm="1">
        <f t="array" ref="C557">IFERROR(INDEX('03.Muestra'!$F$8:$F$42,SMALL(IF("Página Web"='03.Muestra'!$D$8:$D$42,ROW('03.Muestra'!$F$8:$F$42)-MIN(ROW('03.Muestra'!$D$8:$D$42))+1,""),ROW()-550)),"")</f>
        <v>https://www.bocm.es/declaracion-de-accesibilidad</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IFERROR(INDEX('03.Muestra'!$B$8:$B$42,SMALL(IF("Página Web"='03.Muestra'!$D$8:$D$42,ROW('03.Muestra'!$B$8:$B$42)-MIN(ROW('03.Muestra'!$D$8:$D$42))+1,""),ROW()-550)),"")</f>
        <v/>
      </c>
      <c r="B558" s="85" t="str" cm="1">
        <f t="array" ref="B558">IFERROR(INDEX('03.Muestra'!$C$8:$C$42,SMALL(IF("Página Web"='03.Muestra'!$D$8:$D$42,ROW('03.Muestra'!$C$8:$C$42)-MIN(ROW('03.Muestra'!$D$8:$D$42))+1,""),ROW()-550)),"")</f>
        <v/>
      </c>
      <c r="C558" s="85" t="str" cm="1">
        <f t="array" ref="C558">IFERROR(INDEX('03.Muestra'!$F$8:$F$42,SMALL(IF("Página Web"='03.Muestra'!$D$8:$D$42,ROW('03.Muestra'!$F$8:$F$42)-MIN(ROW('03.Muestra'!$D$8:$D$42))+1,""),ROW()-550)),"")</f>
        <v/>
      </c>
      <c r="D558" s="99" t="str">
        <f t="shared" ref="D558:D585" si="29">IF(AND(B558&lt;&gt;"",C558&lt;&gt;""),"N/T","")</f>
        <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si="29"/>
        <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https://www.bocm.es/</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Inicio/ultimo-bocm</v>
      </c>
      <c r="C590" s="85" t="str" cm="1">
        <f t="array" ref="C590">IFERROR(INDEX('03.Muestra'!$F$8:$F$42,SMALL(IF("Página Web"='03.Muestra'!$D$8:$D$42,ROW('03.Muestra'!$F$8:$F$42)-MIN(ROW('03.Muestra'!$D$8:$D$42))+1,""),ROW()-588)),"")</f>
        <v>https://www.bocm.es/ultimo-bocm</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7</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Inicio/autentificacion-verificacion</v>
      </c>
      <c r="C591" s="85" t="str" cm="1">
        <f t="array" ref="C591">IFERROR(INDEX('03.Muestra'!$F$8:$F$42,SMALL(IF("Página Web"='03.Muestra'!$D$8:$D$42,ROW('03.Muestra'!$F$8:$F$42)-MIN(ROW('03.Muestra'!$D$8:$D$42))+1,""),ROW()-588)),"")</f>
        <v>https://www.bocm.es/autentificacion-verificacion</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Inicio/que-es-bocm</v>
      </c>
      <c r="C592" s="85" t="str" cm="1">
        <f t="array" ref="C592">IFERROR(INDEX('03.Muestra'!$F$8:$F$42,SMALL(IF("Página Web"='03.Muestra'!$D$8:$D$42,ROW('03.Muestra'!$F$8:$F$42)-MIN(ROW('03.Muestra'!$D$8:$D$42))+1,""),ROW()-588)),"")</f>
        <v>https://www.bocm.es/que-es-bocm</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Inicio/organismo-autonomo</v>
      </c>
      <c r="C593" s="85" t="str" cm="1">
        <f t="array" ref="C593">IFERROR(INDEX('03.Muestra'!$F$8:$F$42,SMALL(IF("Página Web"='03.Muestra'!$D$8:$D$42,ROW('03.Muestra'!$F$8:$F$42)-MIN(ROW('03.Muestra'!$D$8:$D$42))+1,""),ROW()-588)),"")</f>
        <v>https://www.bocm.es/organismo-autonomo</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Inicio/s/publicar-anuncio</v>
      </c>
      <c r="C594" s="85" t="str" cm="1">
        <f t="array" ref="C594">IFERROR(INDEX('03.Muestra'!$F$8:$F$42,SMALL(IF("Página Web"='03.Muestra'!$D$8:$D$42,ROW('03.Muestra'!$F$8:$F$42)-MIN(ROW('03.Muestra'!$D$8:$D$42))+1,""),ROW()-588)),"")</f>
        <v>https://www.bocm.es/publicar-anuncio</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Inicio/declaracion-de-accesibilidad</v>
      </c>
      <c r="C595" s="85" t="str" cm="1">
        <f t="array" ref="C595">IFERROR(INDEX('03.Muestra'!$F$8:$F$42,SMALL(IF("Página Web"='03.Muestra'!$D$8:$D$42,ROW('03.Muestra'!$F$8:$F$42)-MIN(ROW('03.Muestra'!$D$8:$D$42))+1,""),ROW()-588)),"")</f>
        <v>https://www.bocm.es/declaracion-de-accesibilidad</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IFERROR(INDEX('03.Muestra'!$B$8:$B$42,SMALL(IF("Página Web"='03.Muestra'!$D$8:$D$42,ROW('03.Muestra'!$B$8:$B$42)-MIN(ROW('03.Muestra'!$D$8:$D$42))+1,""),ROW()-588)),"")</f>
        <v/>
      </c>
      <c r="B596" s="85" t="str" cm="1">
        <f t="array" ref="B596">IFERROR(INDEX('03.Muestra'!$C$8:$C$42,SMALL(IF("Página Web"='03.Muestra'!$D$8:$D$42,ROW('03.Muestra'!$C$8:$C$42)-MIN(ROW('03.Muestra'!$D$8:$D$42))+1,""),ROW()-588)),"")</f>
        <v/>
      </c>
      <c r="C596" s="85" t="str" cm="1">
        <f t="array" ref="C596">IFERROR(INDEX('03.Muestra'!$F$8:$F$42,SMALL(IF("Página Web"='03.Muestra'!$D$8:$D$42,ROW('03.Muestra'!$F$8:$F$42)-MIN(ROW('03.Muestra'!$D$8:$D$42))+1,""),ROW()-588)),"")</f>
        <v/>
      </c>
      <c r="D596" s="99" t="str">
        <f t="shared" ref="D596:D623" si="31">IF(AND(B596&lt;&gt;"",C596&lt;&gt;""),"N/T","")</f>
        <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si="31"/>
        <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https://www.bocm.es/</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Inicio/ultimo-bocm</v>
      </c>
      <c r="C628" s="85" t="str" cm="1">
        <f t="array" ref="C628">IFERROR(INDEX('03.Muestra'!$F$8:$F$42,SMALL(IF("Página Web"='03.Muestra'!$D$8:$D$42,ROW('03.Muestra'!$F$8:$F$42)-MIN(ROW('03.Muestra'!$D$8:$D$42))+1,""),ROW()-626)),"")</f>
        <v>https://www.bocm.es/ultimo-bocm</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7</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Inicio/autentificacion-verificacion</v>
      </c>
      <c r="C629" s="85" t="str" cm="1">
        <f t="array" ref="C629">IFERROR(INDEX('03.Muestra'!$F$8:$F$42,SMALL(IF("Página Web"='03.Muestra'!$D$8:$D$42,ROW('03.Muestra'!$F$8:$F$42)-MIN(ROW('03.Muestra'!$D$8:$D$42))+1,""),ROW()-626)),"")</f>
        <v>https://www.bocm.es/autentificacion-verificacion</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Inicio/que-es-bocm</v>
      </c>
      <c r="C630" s="85" t="str" cm="1">
        <f t="array" ref="C630">IFERROR(INDEX('03.Muestra'!$F$8:$F$42,SMALL(IF("Página Web"='03.Muestra'!$D$8:$D$42,ROW('03.Muestra'!$F$8:$F$42)-MIN(ROW('03.Muestra'!$D$8:$D$42))+1,""),ROW()-626)),"")</f>
        <v>https://www.bocm.es/que-es-bocm</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Inicio/organismo-autonomo</v>
      </c>
      <c r="C631" s="85" t="str" cm="1">
        <f t="array" ref="C631">IFERROR(INDEX('03.Muestra'!$F$8:$F$42,SMALL(IF("Página Web"='03.Muestra'!$D$8:$D$42,ROW('03.Muestra'!$F$8:$F$42)-MIN(ROW('03.Muestra'!$D$8:$D$42))+1,""),ROW()-626)),"")</f>
        <v>https://www.bocm.es/organismo-autonomo</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Inicio/s/publicar-anuncio</v>
      </c>
      <c r="C632" s="85" t="str" cm="1">
        <f t="array" ref="C632">IFERROR(INDEX('03.Muestra'!$F$8:$F$42,SMALL(IF("Página Web"='03.Muestra'!$D$8:$D$42,ROW('03.Muestra'!$F$8:$F$42)-MIN(ROW('03.Muestra'!$D$8:$D$42))+1,""),ROW()-626)),"")</f>
        <v>https://www.bocm.es/publicar-anuncio</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Inicio/declaracion-de-accesibilidad</v>
      </c>
      <c r="C633" s="85" t="str" cm="1">
        <f t="array" ref="C633">IFERROR(INDEX('03.Muestra'!$F$8:$F$42,SMALL(IF("Página Web"='03.Muestra'!$D$8:$D$42,ROW('03.Muestra'!$F$8:$F$42)-MIN(ROW('03.Muestra'!$D$8:$D$42))+1,""),ROW()-626)),"")</f>
        <v>https://www.bocm.es/declaracion-de-accesibilidad</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t="str" cm="1">
        <f t="array" ref="A634">IFERROR(INDEX('03.Muestra'!$B$8:$B$42,SMALL(IF("Página Web"='03.Muestra'!$D$8:$D$42,ROW('03.Muestra'!$B$8:$B$42)-MIN(ROW('03.Muestra'!$D$8:$D$42))+1,""),ROW()-626)),"")</f>
        <v/>
      </c>
      <c r="B634" s="85" t="str" cm="1">
        <f t="array" ref="B634">IFERROR(INDEX('03.Muestra'!$C$8:$C$42,SMALL(IF("Página Web"='03.Muestra'!$D$8:$D$42,ROW('03.Muestra'!$C$8:$C$42)-MIN(ROW('03.Muestra'!$D$8:$D$42))+1,""),ROW()-626)),"")</f>
        <v/>
      </c>
      <c r="C634" s="85" t="str" cm="1">
        <f t="array" ref="C634">IFERROR(INDEX('03.Muestra'!$F$8:$F$42,SMALL(IF("Página Web"='03.Muestra'!$D$8:$D$42,ROW('03.Muestra'!$F$8:$F$42)-MIN(ROW('03.Muestra'!$D$8:$D$42))+1,""),ROW()-626)),"")</f>
        <v/>
      </c>
      <c r="D634" s="99" t="str">
        <f t="shared" ref="D634:D661" si="33">IF(AND(B634&lt;&gt;"",C634&lt;&gt;""),"N/T","")</f>
        <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si="33"/>
        <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https://www.bocm.es/</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Inicio/ultimo-bocm</v>
      </c>
      <c r="C666" s="85" t="str" cm="1">
        <f t="array" ref="C666">IFERROR(INDEX('03.Muestra'!$F$8:$F$42,SMALL(IF("Página Web"='03.Muestra'!$D$8:$D$42,ROW('03.Muestra'!$F$8:$F$42)-MIN(ROW('03.Muestra'!$D$8:$D$42))+1,""),ROW()-664)),"")</f>
        <v>https://www.bocm.es/ultimo-bocm</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7</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Inicio/autentificacion-verificacion</v>
      </c>
      <c r="C667" s="85" t="str" cm="1">
        <f t="array" ref="C667">IFERROR(INDEX('03.Muestra'!$F$8:$F$42,SMALL(IF("Página Web"='03.Muestra'!$D$8:$D$42,ROW('03.Muestra'!$F$8:$F$42)-MIN(ROW('03.Muestra'!$D$8:$D$42))+1,""),ROW()-664)),"")</f>
        <v>https://www.bocm.es/autentificacion-verificacion</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Inicio/que-es-bocm</v>
      </c>
      <c r="C668" s="85" t="str" cm="1">
        <f t="array" ref="C668">IFERROR(INDEX('03.Muestra'!$F$8:$F$42,SMALL(IF("Página Web"='03.Muestra'!$D$8:$D$42,ROW('03.Muestra'!$F$8:$F$42)-MIN(ROW('03.Muestra'!$D$8:$D$42))+1,""),ROW()-664)),"")</f>
        <v>https://www.bocm.es/que-es-bocm</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Inicio/organismo-autonomo</v>
      </c>
      <c r="C669" s="85" t="str" cm="1">
        <f t="array" ref="C669">IFERROR(INDEX('03.Muestra'!$F$8:$F$42,SMALL(IF("Página Web"='03.Muestra'!$D$8:$D$42,ROW('03.Muestra'!$F$8:$F$42)-MIN(ROW('03.Muestra'!$D$8:$D$42))+1,""),ROW()-664)),"")</f>
        <v>https://www.bocm.es/organismo-autonomo</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Inicio/s/publicar-anuncio</v>
      </c>
      <c r="C670" s="85" t="str" cm="1">
        <f t="array" ref="C670">IFERROR(INDEX('03.Muestra'!$F$8:$F$42,SMALL(IF("Página Web"='03.Muestra'!$D$8:$D$42,ROW('03.Muestra'!$F$8:$F$42)-MIN(ROW('03.Muestra'!$D$8:$D$42))+1,""),ROW()-664)),"")</f>
        <v>https://www.bocm.es/publicar-anuncio</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Inicio/declaracion-de-accesibilidad</v>
      </c>
      <c r="C671" s="85" t="str" cm="1">
        <f t="array" ref="C671">IFERROR(INDEX('03.Muestra'!$F$8:$F$42,SMALL(IF("Página Web"='03.Muestra'!$D$8:$D$42,ROW('03.Muestra'!$F$8:$F$42)-MIN(ROW('03.Muestra'!$D$8:$D$42))+1,""),ROW()-664)),"")</f>
        <v>https://www.bocm.es/declaracion-de-accesibilidad</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t="str" cm="1">
        <f t="array" ref="A672">IFERROR(INDEX('03.Muestra'!$B$8:$B$42,SMALL(IF("Página Web"='03.Muestra'!$D$8:$D$42,ROW('03.Muestra'!$B$8:$B$42)-MIN(ROW('03.Muestra'!$D$8:$D$42))+1,""),ROW()-664)),"")</f>
        <v/>
      </c>
      <c r="B672" s="85" t="str" cm="1">
        <f t="array" ref="B672">IFERROR(INDEX('03.Muestra'!$C$8:$C$42,SMALL(IF("Página Web"='03.Muestra'!$D$8:$D$42,ROW('03.Muestra'!$C$8:$C$42)-MIN(ROW('03.Muestra'!$D$8:$D$42))+1,""),ROW()-664)),"")</f>
        <v/>
      </c>
      <c r="C672" s="85" t="str" cm="1">
        <f t="array" ref="C672">IFERROR(INDEX('03.Muestra'!$F$8:$F$42,SMALL(IF("Página Web"='03.Muestra'!$D$8:$D$42,ROW('03.Muestra'!$F$8:$F$42)-MIN(ROW('03.Muestra'!$D$8:$D$42))+1,""),ROW()-664)),"")</f>
        <v/>
      </c>
      <c r="D672" s="99" t="str">
        <f t="shared" ref="D672:D699" si="35">IF(AND(B672&lt;&gt;"",C672&lt;&gt;""),"N/T","")</f>
        <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si="35"/>
        <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https://www.bocm.es/</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Inicio/ultimo-bocm</v>
      </c>
      <c r="C704" s="85" t="str" cm="1">
        <f t="array" ref="C704">IFERROR(INDEX('03.Muestra'!$F$8:$F$42,SMALL(IF("Página Web"='03.Muestra'!$D$8:$D$42,ROW('03.Muestra'!$F$8:$F$42)-MIN(ROW('03.Muestra'!$D$8:$D$42))+1,""),ROW()-702)),"")</f>
        <v>https://www.bocm.es/ultimo-bocm</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7</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Inicio/autentificacion-verificacion</v>
      </c>
      <c r="C705" s="85" t="str" cm="1">
        <f t="array" ref="C705">IFERROR(INDEX('03.Muestra'!$F$8:$F$42,SMALL(IF("Página Web"='03.Muestra'!$D$8:$D$42,ROW('03.Muestra'!$F$8:$F$42)-MIN(ROW('03.Muestra'!$D$8:$D$42))+1,""),ROW()-702)),"")</f>
        <v>https://www.bocm.es/autentificacion-verificacion</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Inicio/que-es-bocm</v>
      </c>
      <c r="C706" s="85" t="str" cm="1">
        <f t="array" ref="C706">IFERROR(INDEX('03.Muestra'!$F$8:$F$42,SMALL(IF("Página Web"='03.Muestra'!$D$8:$D$42,ROW('03.Muestra'!$F$8:$F$42)-MIN(ROW('03.Muestra'!$D$8:$D$42))+1,""),ROW()-702)),"")</f>
        <v>https://www.bocm.es/que-es-bocm</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Inicio/organismo-autonomo</v>
      </c>
      <c r="C707" s="85" t="str" cm="1">
        <f t="array" ref="C707">IFERROR(INDEX('03.Muestra'!$F$8:$F$42,SMALL(IF("Página Web"='03.Muestra'!$D$8:$D$42,ROW('03.Muestra'!$F$8:$F$42)-MIN(ROW('03.Muestra'!$D$8:$D$42))+1,""),ROW()-702)),"")</f>
        <v>https://www.bocm.es/organismo-autonomo</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Inicio/s/publicar-anuncio</v>
      </c>
      <c r="C708" s="85" t="str" cm="1">
        <f t="array" ref="C708">IFERROR(INDEX('03.Muestra'!$F$8:$F$42,SMALL(IF("Página Web"='03.Muestra'!$D$8:$D$42,ROW('03.Muestra'!$F$8:$F$42)-MIN(ROW('03.Muestra'!$D$8:$D$42))+1,""),ROW()-702)),"")</f>
        <v>https://www.bocm.es/publicar-anuncio</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Inicio/declaracion-de-accesibilidad</v>
      </c>
      <c r="C709" s="85" t="str" cm="1">
        <f t="array" ref="C709">IFERROR(INDEX('03.Muestra'!$F$8:$F$42,SMALL(IF("Página Web"='03.Muestra'!$D$8:$D$42,ROW('03.Muestra'!$F$8:$F$42)-MIN(ROW('03.Muestra'!$D$8:$D$42))+1,""),ROW()-702)),"")</f>
        <v>https://www.bocm.es/declaracion-de-accesibilidad</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t="str" cm="1">
        <f t="array" ref="A710">IFERROR(INDEX('03.Muestra'!$B$8:$B$42,SMALL(IF("Página Web"='03.Muestra'!$D$8:$D$42,ROW('03.Muestra'!$B$8:$B$42)-MIN(ROW('03.Muestra'!$D$8:$D$42))+1,""),ROW()-702)),"")</f>
        <v/>
      </c>
      <c r="B710" s="85" t="str" cm="1">
        <f t="array" ref="B710">IFERROR(INDEX('03.Muestra'!$C$8:$C$42,SMALL(IF("Página Web"='03.Muestra'!$D$8:$D$42,ROW('03.Muestra'!$C$8:$C$42)-MIN(ROW('03.Muestra'!$D$8:$D$42))+1,""),ROW()-702)),"")</f>
        <v/>
      </c>
      <c r="C710" s="85" t="str" cm="1">
        <f t="array" ref="C710">IFERROR(INDEX('03.Muestra'!$F$8:$F$42,SMALL(IF("Página Web"='03.Muestra'!$D$8:$D$42,ROW('03.Muestra'!$F$8:$F$42)-MIN(ROW('03.Muestra'!$D$8:$D$42))+1,""),ROW()-702)),"")</f>
        <v/>
      </c>
      <c r="D710" s="99" t="str">
        <f t="shared" ref="D710:D737" si="37">IF(AND(B710&lt;&gt;"",C710&lt;&gt;""),"N/T","")</f>
        <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si="37"/>
        <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topLeftCell="C309" zoomScale="117" zoomScaleNormal="117" workbookViewId="0">
      <selection activeCell="D325" sqref="D325:D329"/>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63</v>
      </c>
      <c r="H14" s="42">
        <f ca="1">IF(($G$15+$K$15)=0,0,G14/($G$15+$K$15))</f>
        <v>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https://www.bocm.es/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Inicio/ultimo-bocm</v>
      </c>
      <c r="C20" s="85" t="str" cm="1">
        <f t="array" ref="C20">IFERROR(INDEX('03.Muestra'!$F$8:$F$42,SMALL(IF("Página Web"='03.Muestra'!$D$8:$D$42,ROW('03.Muestra'!$F$8:$F$42)-MIN(ROW('03.Muestra'!$D$8:$D$42))+1,""),ROW()-18)),"")</f>
        <v>https://www.bocm.es/ultimo-bocm</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Inicio/autentificacion-verificacion</v>
      </c>
      <c r="C21" s="85" t="str" cm="1">
        <f t="array" ref="C21">IFERROR(INDEX('03.Muestra'!$F$8:$F$42,SMALL(IF("Página Web"='03.Muestra'!$D$8:$D$42,ROW('03.Muestra'!$F$8:$F$42)-MIN(ROW('03.Muestra'!$D$8:$D$42))+1,""),ROW()-18)),"")</f>
        <v>https://www.bocm.es/autentificacion-verificacion</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Inicio/que-es-bocm</v>
      </c>
      <c r="C22" s="85" t="str" cm="1">
        <f t="array" ref="C22">IFERROR(INDEX('03.Muestra'!$F$8:$F$42,SMALL(IF("Página Web"='03.Muestra'!$D$8:$D$42,ROW('03.Muestra'!$F$8:$F$42)-MIN(ROW('03.Muestra'!$D$8:$D$42))+1,""),ROW()-18)),"")</f>
        <v>https://www.bocm.es/que-es-bocm</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Inicio/organismo-autonomo</v>
      </c>
      <c r="C23" s="85" t="str" cm="1">
        <f t="array" ref="C23">IFERROR(INDEX('03.Muestra'!$F$8:$F$42,SMALL(IF("Página Web"='03.Muestra'!$D$8:$D$42,ROW('03.Muestra'!$F$8:$F$42)-MIN(ROW('03.Muestra'!$D$8:$D$42))+1,""),ROW()-18)),"")</f>
        <v>https://www.bocm.es/organismo-autonomo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Inicio/s/publicar-anuncio</v>
      </c>
      <c r="C24" s="85" t="str" cm="1">
        <f t="array" ref="C24">IFERROR(INDEX('03.Muestra'!$F$8:$F$42,SMALL(IF("Página Web"='03.Muestra'!$D$8:$D$42,ROW('03.Muestra'!$F$8:$F$42)-MIN(ROW('03.Muestra'!$D$8:$D$42))+1,""),ROW()-18)),"")</f>
        <v>https://www.bocm.es/publicar-anuncio</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Inicio/declaracion-de-accesibilidad</v>
      </c>
      <c r="C25" s="85" t="str" cm="1">
        <f t="array" ref="C25">IFERROR(INDEX('03.Muestra'!$F$8:$F$42,SMALL(IF("Página Web"='03.Muestra'!$D$8:$D$42,ROW('03.Muestra'!$F$8:$F$42)-MIN(ROW('03.Muestra'!$D$8:$D$42))+1,""),ROW()-18)),"")</f>
        <v>https://www.bocm.es/declaracion-de-accesibilidad</v>
      </c>
      <c r="D25" s="99" t="s">
        <v>104</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https://www.bocm.es/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Inicio/ultimo-bocm</v>
      </c>
      <c r="C58" s="85" t="str" cm="1">
        <f t="array" ref="C58">IFERROR(INDEX('03.Muestra'!$F$8:$F$42,SMALL(IF("Página Web"='03.Muestra'!$D$8:$D$42,ROW('03.Muestra'!$F$8:$F$42)-MIN(ROW('03.Muestra'!$D$8:$D$42))+1,""),ROW()-56)),"")</f>
        <v>https://www.bocm.es/ultimo-bocm</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Inicio/autentificacion-verificacion</v>
      </c>
      <c r="C59" s="85" t="str" cm="1">
        <f t="array" ref="C59">IFERROR(INDEX('03.Muestra'!$F$8:$F$42,SMALL(IF("Página Web"='03.Muestra'!$D$8:$D$42,ROW('03.Muestra'!$F$8:$F$42)-MIN(ROW('03.Muestra'!$D$8:$D$42))+1,""),ROW()-56)),"")</f>
        <v>https://www.bocm.es/autentificacion-verificacion</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Inicio/que-es-bocm</v>
      </c>
      <c r="C60" s="85" t="str" cm="1">
        <f t="array" ref="C60">IFERROR(INDEX('03.Muestra'!$F$8:$F$42,SMALL(IF("Página Web"='03.Muestra'!$D$8:$D$42,ROW('03.Muestra'!$F$8:$F$42)-MIN(ROW('03.Muestra'!$D$8:$D$42))+1,""),ROW()-56)),"")</f>
        <v>https://www.bocm.es/que-es-bocm</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Inicio/organismo-autonomo</v>
      </c>
      <c r="C61" s="85" t="str" cm="1">
        <f t="array" ref="C61">IFERROR(INDEX('03.Muestra'!$F$8:$F$42,SMALL(IF("Página Web"='03.Muestra'!$D$8:$D$42,ROW('03.Muestra'!$F$8:$F$42)-MIN(ROW('03.Muestra'!$D$8:$D$42))+1,""),ROW()-56)),"")</f>
        <v>https://www.bocm.es/organismo-autonomo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Inicio/s/publicar-anuncio</v>
      </c>
      <c r="C62" s="85" t="str" cm="1">
        <f t="array" ref="C62">IFERROR(INDEX('03.Muestra'!$F$8:$F$42,SMALL(IF("Página Web"='03.Muestra'!$D$8:$D$42,ROW('03.Muestra'!$F$8:$F$42)-MIN(ROW('03.Muestra'!$D$8:$D$42))+1,""),ROW()-56)),"")</f>
        <v>https://www.bocm.es/publicar-anuncio</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Inicio/declaracion-de-accesibilidad</v>
      </c>
      <c r="C63" s="85" t="str" cm="1">
        <f t="array" ref="C63">IFERROR(INDEX('03.Muestra'!$F$8:$F$42,SMALL(IF("Página Web"='03.Muestra'!$D$8:$D$42,ROW('03.Muestra'!$F$8:$F$42)-MIN(ROW('03.Muestra'!$D$8:$D$42))+1,""),ROW()-56)),"")</f>
        <v>https://www.bocm.es/declaracion-de-accesibilidad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https://www.bocm.es/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Inicio/ultimo-bocm</v>
      </c>
      <c r="C96" s="85" t="str" cm="1">
        <f t="array" ref="C96">IFERROR(INDEX('03.Muestra'!$F$8:$F$42,SMALL(IF("Página Web"='03.Muestra'!$D$8:$D$42,ROW('03.Muestra'!$F$8:$F$42)-MIN(ROW('03.Muestra'!$D$8:$D$42))+1,""),ROW()-94)),"")</f>
        <v>https://www.bocm.es/ultimo-bocm</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Inicio/autentificacion-verificacion</v>
      </c>
      <c r="C97" s="85" t="str" cm="1">
        <f t="array" ref="C97">IFERROR(INDEX('03.Muestra'!$F$8:$F$42,SMALL(IF("Página Web"='03.Muestra'!$D$8:$D$42,ROW('03.Muestra'!$F$8:$F$42)-MIN(ROW('03.Muestra'!$D$8:$D$42))+1,""),ROW()-94)),"")</f>
        <v>https://www.bocm.es/autentificacion-verificacion</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Inicio/que-es-bocm</v>
      </c>
      <c r="C98" s="85" t="str" cm="1">
        <f t="array" ref="C98">IFERROR(INDEX('03.Muestra'!$F$8:$F$42,SMALL(IF("Página Web"='03.Muestra'!$D$8:$D$42,ROW('03.Muestra'!$F$8:$F$42)-MIN(ROW('03.Muestra'!$D$8:$D$42))+1,""),ROW()-94)),"")</f>
        <v>https://www.bocm.es/que-es-bocm</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Inicio/organismo-autonomo</v>
      </c>
      <c r="C99" s="85" t="str" cm="1">
        <f t="array" ref="C99">IFERROR(INDEX('03.Muestra'!$F$8:$F$42,SMALL(IF("Página Web"='03.Muestra'!$D$8:$D$42,ROW('03.Muestra'!$F$8:$F$42)-MIN(ROW('03.Muestra'!$D$8:$D$42))+1,""),ROW()-94)),"")</f>
        <v>https://www.bocm.es/organismo-autonomo</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Inicio/s/publicar-anuncio</v>
      </c>
      <c r="C100" s="85" t="str" cm="1">
        <f t="array" ref="C100">IFERROR(INDEX('03.Muestra'!$F$8:$F$42,SMALL(IF("Página Web"='03.Muestra'!$D$8:$D$42,ROW('03.Muestra'!$F$8:$F$42)-MIN(ROW('03.Muestra'!$D$8:$D$42))+1,""),ROW()-94)),"")</f>
        <v>https://www.bocm.es/publicar-anuncio</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Inicio/declaracion-de-accesibilidad</v>
      </c>
      <c r="C101" s="85" t="str" cm="1">
        <f t="array" ref="C101">IFERROR(INDEX('03.Muestra'!$F$8:$F$42,SMALL(IF("Página Web"='03.Muestra'!$D$8:$D$42,ROW('03.Muestra'!$F$8:$F$42)-MIN(ROW('03.Muestra'!$D$8:$D$42))+1,""),ROW()-94)),"")</f>
        <v>https://www.bocm.es/declaracion-de-accesibilidad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https://www.bocm.es/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Inicio/ultimo-bocm</v>
      </c>
      <c r="C134" s="85" t="str" cm="1">
        <f t="array" ref="C134">IFERROR(INDEX('03.Muestra'!$F$8:$F$42,SMALL(IF("Página Web"='03.Muestra'!$D$8:$D$42,ROW('03.Muestra'!$F$8:$F$42)-MIN(ROW('03.Muestra'!$D$8:$D$42))+1,""),ROW()-132)),"")</f>
        <v>https://www.bocm.es/ultimo-bocm</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Inicio/autentificacion-verificacion</v>
      </c>
      <c r="C135" s="85" t="str" cm="1">
        <f t="array" ref="C135">IFERROR(INDEX('03.Muestra'!$F$8:$F$42,SMALL(IF("Página Web"='03.Muestra'!$D$8:$D$42,ROW('03.Muestra'!$F$8:$F$42)-MIN(ROW('03.Muestra'!$D$8:$D$42))+1,""),ROW()-132)),"")</f>
        <v>https://www.bocm.es/autentificacion-verificacion</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Inicio/que-es-bocm</v>
      </c>
      <c r="C136" s="85" t="str" cm="1">
        <f t="array" ref="C136">IFERROR(INDEX('03.Muestra'!$F$8:$F$42,SMALL(IF("Página Web"='03.Muestra'!$D$8:$D$42,ROW('03.Muestra'!$F$8:$F$42)-MIN(ROW('03.Muestra'!$D$8:$D$42))+1,""),ROW()-132)),"")</f>
        <v>https://www.bocm.es/que-es-bocm</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Inicio/organismo-autonomo</v>
      </c>
      <c r="C137" s="85" t="str" cm="1">
        <f t="array" ref="C137">IFERROR(INDEX('03.Muestra'!$F$8:$F$42,SMALL(IF("Página Web"='03.Muestra'!$D$8:$D$42,ROW('03.Muestra'!$F$8:$F$42)-MIN(ROW('03.Muestra'!$D$8:$D$42))+1,""),ROW()-132)),"")</f>
        <v>https://www.bocm.es/organismo-autonomo</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Inicio/s/publicar-anuncio</v>
      </c>
      <c r="C138" s="85" t="str" cm="1">
        <f t="array" ref="C138">IFERROR(INDEX('03.Muestra'!$F$8:$F$42,SMALL(IF("Página Web"='03.Muestra'!$D$8:$D$42,ROW('03.Muestra'!$F$8:$F$42)-MIN(ROW('03.Muestra'!$D$8:$D$42))+1,""),ROW()-132)),"")</f>
        <v>https://www.bocm.es/publicar-anuncio</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Inicio/declaracion-de-accesibilidad</v>
      </c>
      <c r="C139" s="85" t="str" cm="1">
        <f t="array" ref="C139">IFERROR(INDEX('03.Muestra'!$F$8:$F$42,SMALL(IF("Página Web"='03.Muestra'!$D$8:$D$42,ROW('03.Muestra'!$F$8:$F$42)-MIN(ROW('03.Muestra'!$D$8:$D$42))+1,""),ROW()-132)),"")</f>
        <v>https://www.bocm.es/declaracion-de-accesibilidad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https://www.bocm.es/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Inicio/ultimo-bocm</v>
      </c>
      <c r="C172" s="85" t="str" cm="1">
        <f t="array" ref="C172">IFERROR(INDEX('03.Muestra'!$F$8:$F$42,SMALL(IF("Página Web"='03.Muestra'!$D$8:$D$42,ROW('03.Muestra'!$F$8:$F$42)-MIN(ROW('03.Muestra'!$D$8:$D$42))+1,""),ROW()-170)),"")</f>
        <v>https://www.bocm.es/ultimo-bocm</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Inicio/autentificacion-verificacion</v>
      </c>
      <c r="C173" s="85" t="str" cm="1">
        <f t="array" ref="C173">IFERROR(INDEX('03.Muestra'!$F$8:$F$42,SMALL(IF("Página Web"='03.Muestra'!$D$8:$D$42,ROW('03.Muestra'!$F$8:$F$42)-MIN(ROW('03.Muestra'!$D$8:$D$42))+1,""),ROW()-170)),"")</f>
        <v>https://www.bocm.es/autentificacion-verificacion</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Inicio/que-es-bocm</v>
      </c>
      <c r="C174" s="85" t="str" cm="1">
        <f t="array" ref="C174">IFERROR(INDEX('03.Muestra'!$F$8:$F$42,SMALL(IF("Página Web"='03.Muestra'!$D$8:$D$42,ROW('03.Muestra'!$F$8:$F$42)-MIN(ROW('03.Muestra'!$D$8:$D$42))+1,""),ROW()-170)),"")</f>
        <v>https://www.bocm.es/que-es-bocm</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Inicio/organismo-autonomo</v>
      </c>
      <c r="C175" s="85" t="str" cm="1">
        <f t="array" ref="C175">IFERROR(INDEX('03.Muestra'!$F$8:$F$42,SMALL(IF("Página Web"='03.Muestra'!$D$8:$D$42,ROW('03.Muestra'!$F$8:$F$42)-MIN(ROW('03.Muestra'!$D$8:$D$42))+1,""),ROW()-170)),"")</f>
        <v>https://www.bocm.es/organismo-autonomo</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Inicio/s/publicar-anuncio</v>
      </c>
      <c r="C176" s="85" t="str" cm="1">
        <f t="array" ref="C176">IFERROR(INDEX('03.Muestra'!$F$8:$F$42,SMALL(IF("Página Web"='03.Muestra'!$D$8:$D$42,ROW('03.Muestra'!$F$8:$F$42)-MIN(ROW('03.Muestra'!$D$8:$D$42))+1,""),ROW()-170)),"")</f>
        <v>https://www.bocm.es/publicar-anuncio</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Inicio/declaracion-de-accesibilidad</v>
      </c>
      <c r="C177" s="85" t="str" cm="1">
        <f t="array" ref="C177">IFERROR(INDEX('03.Muestra'!$F$8:$F$42,SMALL(IF("Página Web"='03.Muestra'!$D$8:$D$42,ROW('03.Muestra'!$F$8:$F$42)-MIN(ROW('03.Muestra'!$D$8:$D$42))+1,""),ROW()-170)),"")</f>
        <v>https://www.bocm.es/declaracion-de-accesibilidad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https://www.bocm.es/</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Inicio/ultimo-bocm</v>
      </c>
      <c r="C210" s="85" t="str" cm="1">
        <f t="array" ref="C210">IFERROR(INDEX('03.Muestra'!$F$8:$F$42,SMALL(IF("Página Web"='03.Muestra'!$D$8:$D$42,ROW('03.Muestra'!$F$8:$F$42)-MIN(ROW('03.Muestra'!$D$8:$D$42))+1,""),ROW()-208)),"")</f>
        <v>https://www.bocm.es/ultimo-bocm</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Inicio/autentificacion-verificacion</v>
      </c>
      <c r="C211" s="85" t="str" cm="1">
        <f t="array" ref="C211">IFERROR(INDEX('03.Muestra'!$F$8:$F$42,SMALL(IF("Página Web"='03.Muestra'!$D$8:$D$42,ROW('03.Muestra'!$F$8:$F$42)-MIN(ROW('03.Muestra'!$D$8:$D$42))+1,""),ROW()-208)),"")</f>
        <v>https://www.bocm.es/autentificacion-verificacion</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Inicio/que-es-bocm</v>
      </c>
      <c r="C212" s="85" t="str" cm="1">
        <f t="array" ref="C212">IFERROR(INDEX('03.Muestra'!$F$8:$F$42,SMALL(IF("Página Web"='03.Muestra'!$D$8:$D$42,ROW('03.Muestra'!$F$8:$F$42)-MIN(ROW('03.Muestra'!$D$8:$D$42))+1,""),ROW()-208)),"")</f>
        <v>https://www.bocm.es/que-es-bocm</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Inicio/organismo-autonomo</v>
      </c>
      <c r="C213" s="85" t="str" cm="1">
        <f t="array" ref="C213">IFERROR(INDEX('03.Muestra'!$F$8:$F$42,SMALL(IF("Página Web"='03.Muestra'!$D$8:$D$42,ROW('03.Muestra'!$F$8:$F$42)-MIN(ROW('03.Muestra'!$D$8:$D$42))+1,""),ROW()-208)),"")</f>
        <v>https://www.bocm.es/organismo-autonomo</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Inicio/s/publicar-anuncio</v>
      </c>
      <c r="C214" s="85" t="str" cm="1">
        <f t="array" ref="C214">IFERROR(INDEX('03.Muestra'!$F$8:$F$42,SMALL(IF("Página Web"='03.Muestra'!$D$8:$D$42,ROW('03.Muestra'!$F$8:$F$42)-MIN(ROW('03.Muestra'!$D$8:$D$42))+1,""),ROW()-208)),"")</f>
        <v>https://www.bocm.es/publicar-anuncio</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Inicio/declaracion-de-accesibilidad</v>
      </c>
      <c r="C215" s="85" t="str" cm="1">
        <f t="array" ref="C215">IFERROR(INDEX('03.Muestra'!$F$8:$F$42,SMALL(IF("Página Web"='03.Muestra'!$D$8:$D$42,ROW('03.Muestra'!$F$8:$F$42)-MIN(ROW('03.Muestra'!$D$8:$D$42))+1,""),ROW()-208)),"")</f>
        <v>https://www.bocm.es/declaracion-de-accesibilidad</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https://www.bocm.es/</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Inicio/ultimo-bocm</v>
      </c>
      <c r="C248" s="85" t="str" cm="1">
        <f t="array" ref="C248">IFERROR(INDEX('03.Muestra'!$F$8:$F$42,SMALL(IF("Página Web"='03.Muestra'!$D$8:$D$42,ROW('03.Muestra'!$F$8:$F$42)-MIN(ROW('03.Muestra'!$D$8:$D$42))+1,""),ROW()-246)),"")</f>
        <v>https://www.bocm.es/ultimo-bocm</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7</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Inicio/autentificacion-verificacion</v>
      </c>
      <c r="C249" s="85" t="str" cm="1">
        <f t="array" ref="C249">IFERROR(INDEX('03.Muestra'!$F$8:$F$42,SMALL(IF("Página Web"='03.Muestra'!$D$8:$D$42,ROW('03.Muestra'!$F$8:$F$42)-MIN(ROW('03.Muestra'!$D$8:$D$42))+1,""),ROW()-246)),"")</f>
        <v>https://www.bocm.es/autentificacion-verificacion</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Inicio/que-es-bocm</v>
      </c>
      <c r="C250" s="85" t="str" cm="1">
        <f t="array" ref="C250">IFERROR(INDEX('03.Muestra'!$F$8:$F$42,SMALL(IF("Página Web"='03.Muestra'!$D$8:$D$42,ROW('03.Muestra'!$F$8:$F$42)-MIN(ROW('03.Muestra'!$D$8:$D$42))+1,""),ROW()-246)),"")</f>
        <v>https://www.bocm.es/que-es-bocm</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Inicio/organismo-autonomo</v>
      </c>
      <c r="C251" s="85" t="str" cm="1">
        <f t="array" ref="C251">IFERROR(INDEX('03.Muestra'!$F$8:$F$42,SMALL(IF("Página Web"='03.Muestra'!$D$8:$D$42,ROW('03.Muestra'!$F$8:$F$42)-MIN(ROW('03.Muestra'!$D$8:$D$42))+1,""),ROW()-246)),"")</f>
        <v>https://www.bocm.es/organismo-autonomo</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Inicio/s/publicar-anuncio</v>
      </c>
      <c r="C252" s="85" t="str" cm="1">
        <f t="array" ref="C252">IFERROR(INDEX('03.Muestra'!$F$8:$F$42,SMALL(IF("Página Web"='03.Muestra'!$D$8:$D$42,ROW('03.Muestra'!$F$8:$F$42)-MIN(ROW('03.Muestra'!$D$8:$D$42))+1,""),ROW()-246)),"")</f>
        <v>https://www.bocm.es/publicar-anuncio</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Inicio/declaracion-de-accesibilidad</v>
      </c>
      <c r="C253" s="85" t="str" cm="1">
        <f t="array" ref="C253">IFERROR(INDEX('03.Muestra'!$F$8:$F$42,SMALL(IF("Página Web"='03.Muestra'!$D$8:$D$42,ROW('03.Muestra'!$F$8:$F$42)-MIN(ROW('03.Muestra'!$D$8:$D$42))+1,""),ROW()-246)),"")</f>
        <v>https://www.bocm.es/declaracion-de-accesibilidad</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ref="D254:D281" si="13">IF(AND(B254&lt;&gt;"",C254&lt;&gt;""),"N/T","")</f>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https://www.bocm.es/</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Inicio/ultimo-bocm</v>
      </c>
      <c r="C286" s="85" t="str" cm="1">
        <f t="array" ref="C286">IFERROR(INDEX('03.Muestra'!$F$8:$F$42,SMALL(IF("Página Web"='03.Muestra'!$D$8:$D$42,ROW('03.Muestra'!$F$8:$F$42)-MIN(ROW('03.Muestra'!$D$8:$D$42))+1,""),ROW()-284)),"")</f>
        <v>https://www.bocm.es/ultimo-bocm</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7</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Inicio/autentificacion-verificacion</v>
      </c>
      <c r="C287" s="85" t="str" cm="1">
        <f t="array" ref="C287">IFERROR(INDEX('03.Muestra'!$F$8:$F$42,SMALL(IF("Página Web"='03.Muestra'!$D$8:$D$42,ROW('03.Muestra'!$F$8:$F$42)-MIN(ROW('03.Muestra'!$D$8:$D$42))+1,""),ROW()-284)),"")</f>
        <v>https://www.bocm.es/autentificacion-verificacion</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Inicio/que-es-bocm</v>
      </c>
      <c r="C288" s="85" t="str" cm="1">
        <f t="array" ref="C288">IFERROR(INDEX('03.Muestra'!$F$8:$F$42,SMALL(IF("Página Web"='03.Muestra'!$D$8:$D$42,ROW('03.Muestra'!$F$8:$F$42)-MIN(ROW('03.Muestra'!$D$8:$D$42))+1,""),ROW()-284)),"")</f>
        <v>https://www.bocm.es/que-es-bocm</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Inicio/organismo-autonomo</v>
      </c>
      <c r="C289" s="85" t="str" cm="1">
        <f t="array" ref="C289">IFERROR(INDEX('03.Muestra'!$F$8:$F$42,SMALL(IF("Página Web"='03.Muestra'!$D$8:$D$42,ROW('03.Muestra'!$F$8:$F$42)-MIN(ROW('03.Muestra'!$D$8:$D$42))+1,""),ROW()-284)),"")</f>
        <v>https://www.bocm.es/organismo-autonomo</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Inicio/s/publicar-anuncio</v>
      </c>
      <c r="C290" s="85" t="str" cm="1">
        <f t="array" ref="C290">IFERROR(INDEX('03.Muestra'!$F$8:$F$42,SMALL(IF("Página Web"='03.Muestra'!$D$8:$D$42,ROW('03.Muestra'!$F$8:$F$42)-MIN(ROW('03.Muestra'!$D$8:$D$42))+1,""),ROW()-284)),"")</f>
        <v>https://www.bocm.es/publicar-anuncio</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Inicio/declaracion-de-accesibilidad</v>
      </c>
      <c r="C291" s="85" t="str" cm="1">
        <f t="array" ref="C291">IFERROR(INDEX('03.Muestra'!$F$8:$F$42,SMALL(IF("Página Web"='03.Muestra'!$D$8:$D$42,ROW('03.Muestra'!$F$8:$F$42)-MIN(ROW('03.Muestra'!$D$8:$D$42))+1,""),ROW()-284)),"")</f>
        <v>https://www.bocm.es/declaracion-de-accesibilidad</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ref="D292:D319" si="15">IF(AND(B292&lt;&gt;"",C292&lt;&gt;""),"N/T","")</f>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https://www.bocm.es/</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Inicio/ultimo-bocm</v>
      </c>
      <c r="C324" s="85" t="str" cm="1">
        <f t="array" ref="C324">IFERROR(INDEX('03.Muestra'!$F$8:$F$42,SMALL(IF("Página Web"='03.Muestra'!$D$8:$D$42,ROW('03.Muestra'!$F$8:$F$42)-MIN(ROW('03.Muestra'!$D$8:$D$42))+1,""),ROW()-322)),"")</f>
        <v>https://www.bocm.es/ultimo-bocm</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7</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Inicio/autentificacion-verificacion</v>
      </c>
      <c r="C325" s="85" t="str" cm="1">
        <f t="array" ref="C325">IFERROR(INDEX('03.Muestra'!$F$8:$F$42,SMALL(IF("Página Web"='03.Muestra'!$D$8:$D$42,ROW('03.Muestra'!$F$8:$F$42)-MIN(ROW('03.Muestra'!$D$8:$D$42))+1,""),ROW()-322)),"")</f>
        <v>https://www.bocm.es/autentificacion-verificacion</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Inicio/que-es-bocm</v>
      </c>
      <c r="C326" s="85" t="str" cm="1">
        <f t="array" ref="C326">IFERROR(INDEX('03.Muestra'!$F$8:$F$42,SMALL(IF("Página Web"='03.Muestra'!$D$8:$D$42,ROW('03.Muestra'!$F$8:$F$42)-MIN(ROW('03.Muestra'!$D$8:$D$42))+1,""),ROW()-322)),"")</f>
        <v>https://www.bocm.es/que-es-bocm</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Inicio/organismo-autonomo</v>
      </c>
      <c r="C327" s="85" t="str" cm="1">
        <f t="array" ref="C327">IFERROR(INDEX('03.Muestra'!$F$8:$F$42,SMALL(IF("Página Web"='03.Muestra'!$D$8:$D$42,ROW('03.Muestra'!$F$8:$F$42)-MIN(ROW('03.Muestra'!$D$8:$D$42))+1,""),ROW()-322)),"")</f>
        <v>https://www.bocm.es/organismo-autonomo</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Inicio/s/publicar-anuncio</v>
      </c>
      <c r="C328" s="85" t="str" cm="1">
        <f t="array" ref="C328">IFERROR(INDEX('03.Muestra'!$F$8:$F$42,SMALL(IF("Página Web"='03.Muestra'!$D$8:$D$42,ROW('03.Muestra'!$F$8:$F$42)-MIN(ROW('03.Muestra'!$D$8:$D$42))+1,""),ROW()-322)),"")</f>
        <v>https://www.bocm.es/publicar-anuncio</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Inicio/declaracion-de-accesibilidad</v>
      </c>
      <c r="C329" s="85" t="str" cm="1">
        <f t="array" ref="C329">IFERROR(INDEX('03.Muestra'!$F$8:$F$42,SMALL(IF("Página Web"='03.Muestra'!$D$8:$D$42,ROW('03.Muestra'!$F$8:$F$42)-MIN(ROW('03.Muestra'!$D$8:$D$42))+1,""),ROW()-322)),"")</f>
        <v>https://www.bocm.es/declaracion-de-accesibilidad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ref="D330:D357" si="17">IF(AND(B330&lt;&gt;"",C330&lt;&gt;""),"N/T","")</f>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topLeftCell="A1179" zoomScale="117" zoomScaleNormal="117" workbookViewId="0">
      <selection activeCell="K1201" sqref="K120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148</v>
      </c>
      <c r="H12" s="42">
        <f ca="1">IF(($G$15+$K$15)=0,0,G12/($G$15+$K$15))</f>
        <v>0.42285714285714288</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42</v>
      </c>
      <c r="H13" s="42">
        <f ca="1">IF(($G$15+$K$15)=0,0,G13/($G$15+$K$15))</f>
        <v>0.12</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160</v>
      </c>
      <c r="H14" s="42">
        <f ca="1">IF(($G$15+$K$15)=0,0,G14/($G$15+$K$15))</f>
        <v>0.45714285714285713</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https://www.bocm.es/</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Inicio/ultimo-bocm</v>
      </c>
      <c r="C20" s="85" t="str" cm="1">
        <f t="array" ref="C20">IFERROR(INDEX('03.Muestra'!$F$8:$F$42,SMALL(IF("Página Web"='03.Muestra'!$D$8:$D$42,ROW('03.Muestra'!$F$8:$F$42)-MIN(ROW('03.Muestra'!$D$8:$D$42))+1,""),ROW()-18)),"")</f>
        <v>https://www.bocm.es/ultimo-bocm</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Inicio/autentificacion-verificacion</v>
      </c>
      <c r="C21" s="85" t="str" cm="1">
        <f t="array" ref="C21">IFERROR(INDEX('03.Muestra'!$F$8:$F$42,SMALL(IF("Página Web"='03.Muestra'!$D$8:$D$42,ROW('03.Muestra'!$F$8:$F$42)-MIN(ROW('03.Muestra'!$D$8:$D$42))+1,""),ROW()-18)),"")</f>
        <v>https://www.bocm.es/autentificacion-verificacion</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Inicio/que-es-bocm</v>
      </c>
      <c r="C22" s="85" t="str" cm="1">
        <f t="array" ref="C22">IFERROR(INDEX('03.Muestra'!$F$8:$F$42,SMALL(IF("Página Web"='03.Muestra'!$D$8:$D$42,ROW('03.Muestra'!$F$8:$F$42)-MIN(ROW('03.Muestra'!$D$8:$D$42))+1,""),ROW()-18)),"")</f>
        <v>https://www.bocm.es/que-es-bocm</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Inicio/organismo-autonomo</v>
      </c>
      <c r="C23" s="85" t="str" cm="1">
        <f t="array" ref="C23">IFERROR(INDEX('03.Muestra'!$F$8:$F$42,SMALL(IF("Página Web"='03.Muestra'!$D$8:$D$42,ROW('03.Muestra'!$F$8:$F$42)-MIN(ROW('03.Muestra'!$D$8:$D$42))+1,""),ROW()-18)),"")</f>
        <v>https://www.bocm.es/organismo-autonomo</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Inicio/s/publicar-anuncio</v>
      </c>
      <c r="C24" s="85" t="str" cm="1">
        <f t="array" ref="C24">IFERROR(INDEX('03.Muestra'!$F$8:$F$42,SMALL(IF("Página Web"='03.Muestra'!$D$8:$D$42,ROW('03.Muestra'!$F$8:$F$42)-MIN(ROW('03.Muestra'!$D$8:$D$42))+1,""),ROW()-18)),"")</f>
        <v>https://www.bocm.es/publicar-anuncio</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Inicio/declaracion-de-accesibilidad</v>
      </c>
      <c r="C25" s="85" t="str" cm="1">
        <f t="array" ref="C25">IFERROR(INDEX('03.Muestra'!$F$8:$F$42,SMALL(IF("Página Web"='03.Muestra'!$D$8:$D$42,ROW('03.Muestra'!$F$8:$F$42)-MIN(ROW('03.Muestra'!$D$8:$D$42))+1,""),ROW()-18)),"")</f>
        <v>https://www.bocm.es/declaracion-de-accesibilidad</v>
      </c>
      <c r="D25" s="99" t="s">
        <v>92</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https://www.bocm.es/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Inicio/ultimo-bocm</v>
      </c>
      <c r="C58" s="85" t="str" cm="1">
        <f t="array" ref="C58">IFERROR(INDEX('03.Muestra'!$F$8:$F$42,SMALL(IF("Página Web"='03.Muestra'!$D$8:$D$42,ROW('03.Muestra'!$F$8:$F$42)-MIN(ROW('03.Muestra'!$D$8:$D$42))+1,""),ROW()-56)),"")</f>
        <v>https://www.bocm.es/ultimo-bocm</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Inicio/autentificacion-verificacion</v>
      </c>
      <c r="C59" s="85" t="str" cm="1">
        <f t="array" ref="C59">IFERROR(INDEX('03.Muestra'!$F$8:$F$42,SMALL(IF("Página Web"='03.Muestra'!$D$8:$D$42,ROW('03.Muestra'!$F$8:$F$42)-MIN(ROW('03.Muestra'!$D$8:$D$42))+1,""),ROW()-56)),"")</f>
        <v>https://www.bocm.es/autentificacion-verificacion</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Inicio/que-es-bocm</v>
      </c>
      <c r="C60" s="85" t="str" cm="1">
        <f t="array" ref="C60">IFERROR(INDEX('03.Muestra'!$F$8:$F$42,SMALL(IF("Página Web"='03.Muestra'!$D$8:$D$42,ROW('03.Muestra'!$F$8:$F$42)-MIN(ROW('03.Muestra'!$D$8:$D$42))+1,""),ROW()-56)),"")</f>
        <v>https://www.bocm.es/que-es-bocm</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Inicio/organismo-autonomo</v>
      </c>
      <c r="C61" s="85" t="str" cm="1">
        <f t="array" ref="C61">IFERROR(INDEX('03.Muestra'!$F$8:$F$42,SMALL(IF("Página Web"='03.Muestra'!$D$8:$D$42,ROW('03.Muestra'!$F$8:$F$42)-MIN(ROW('03.Muestra'!$D$8:$D$42))+1,""),ROW()-56)),"")</f>
        <v>https://www.bocm.es/organismo-autonomo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Inicio/s/publicar-anuncio</v>
      </c>
      <c r="C62" s="85" t="str" cm="1">
        <f t="array" ref="C62">IFERROR(INDEX('03.Muestra'!$F$8:$F$42,SMALL(IF("Página Web"='03.Muestra'!$D$8:$D$42,ROW('03.Muestra'!$F$8:$F$42)-MIN(ROW('03.Muestra'!$D$8:$D$42))+1,""),ROW()-56)),"")</f>
        <v>https://www.bocm.es/publicar-anuncio</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Inicio/declaracion-de-accesibilidad</v>
      </c>
      <c r="C63" s="85" t="str" cm="1">
        <f t="array" ref="C63">IFERROR(INDEX('03.Muestra'!$F$8:$F$42,SMALL(IF("Página Web"='03.Muestra'!$D$8:$D$42,ROW('03.Muestra'!$F$8:$F$42)-MIN(ROW('03.Muestra'!$D$8:$D$42))+1,""),ROW()-56)),"")</f>
        <v>https://www.bocm.es/declaracion-de-accesibilidad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https://www.bocm.es/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Inicio/ultimo-bocm</v>
      </c>
      <c r="C96" s="85" t="str" cm="1">
        <f t="array" ref="C96">IFERROR(INDEX('03.Muestra'!$F$8:$F$42,SMALL(IF("Página Web"='03.Muestra'!$D$8:$D$42,ROW('03.Muestra'!$F$8:$F$42)-MIN(ROW('03.Muestra'!$D$8:$D$42))+1,""),ROW()-94)),"")</f>
        <v>https://www.bocm.es/ultimo-bocm</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Inicio/autentificacion-verificacion</v>
      </c>
      <c r="C97" s="85" t="str" cm="1">
        <f t="array" ref="C97">IFERROR(INDEX('03.Muestra'!$F$8:$F$42,SMALL(IF("Página Web"='03.Muestra'!$D$8:$D$42,ROW('03.Muestra'!$F$8:$F$42)-MIN(ROW('03.Muestra'!$D$8:$D$42))+1,""),ROW()-94)),"")</f>
        <v>https://www.bocm.es/autentificacion-verificacion</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Inicio/que-es-bocm</v>
      </c>
      <c r="C98" s="85" t="str" cm="1">
        <f t="array" ref="C98">IFERROR(INDEX('03.Muestra'!$F$8:$F$42,SMALL(IF("Página Web"='03.Muestra'!$D$8:$D$42,ROW('03.Muestra'!$F$8:$F$42)-MIN(ROW('03.Muestra'!$D$8:$D$42))+1,""),ROW()-94)),"")</f>
        <v>https://www.bocm.es/que-es-bocm</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Inicio/organismo-autonomo</v>
      </c>
      <c r="C99" s="85" t="str" cm="1">
        <f t="array" ref="C99">IFERROR(INDEX('03.Muestra'!$F$8:$F$42,SMALL(IF("Página Web"='03.Muestra'!$D$8:$D$42,ROW('03.Muestra'!$F$8:$F$42)-MIN(ROW('03.Muestra'!$D$8:$D$42))+1,""),ROW()-94)),"")</f>
        <v>https://www.bocm.es/organismo-autonomo</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Inicio/s/publicar-anuncio</v>
      </c>
      <c r="C100" s="85" t="str" cm="1">
        <f t="array" ref="C100">IFERROR(INDEX('03.Muestra'!$F$8:$F$42,SMALL(IF("Página Web"='03.Muestra'!$D$8:$D$42,ROW('03.Muestra'!$F$8:$F$42)-MIN(ROW('03.Muestra'!$D$8:$D$42))+1,""),ROW()-94)),"")</f>
        <v>https://www.bocm.es/publicar-anuncio</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Inicio/declaracion-de-accesibilidad</v>
      </c>
      <c r="C101" s="85" t="str" cm="1">
        <f t="array" ref="C101">IFERROR(INDEX('03.Muestra'!$F$8:$F$42,SMALL(IF("Página Web"='03.Muestra'!$D$8:$D$42,ROW('03.Muestra'!$F$8:$F$42)-MIN(ROW('03.Muestra'!$D$8:$D$42))+1,""),ROW()-94)),"")</f>
        <v>https://www.bocm.es/declaracion-de-accesibilidad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https://www.bocm.es/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Inicio/ultimo-bocm</v>
      </c>
      <c r="C134" s="85" t="str" cm="1">
        <f t="array" ref="C134">IFERROR(INDEX('03.Muestra'!$F$8:$F$42,SMALL(IF("Página Web"='03.Muestra'!$D$8:$D$42,ROW('03.Muestra'!$F$8:$F$42)-MIN(ROW('03.Muestra'!$D$8:$D$42))+1,""),ROW()-132)),"")</f>
        <v>https://www.bocm.es/ultimo-bocm</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Inicio/autentificacion-verificacion</v>
      </c>
      <c r="C135" s="85" t="str" cm="1">
        <f t="array" ref="C135">IFERROR(INDEX('03.Muestra'!$F$8:$F$42,SMALL(IF("Página Web"='03.Muestra'!$D$8:$D$42,ROW('03.Muestra'!$F$8:$F$42)-MIN(ROW('03.Muestra'!$D$8:$D$42))+1,""),ROW()-132)),"")</f>
        <v>https://www.bocm.es/autentificacion-verificacion</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Inicio/que-es-bocm</v>
      </c>
      <c r="C136" s="85" t="str" cm="1">
        <f t="array" ref="C136">IFERROR(INDEX('03.Muestra'!$F$8:$F$42,SMALL(IF("Página Web"='03.Muestra'!$D$8:$D$42,ROW('03.Muestra'!$F$8:$F$42)-MIN(ROW('03.Muestra'!$D$8:$D$42))+1,""),ROW()-132)),"")</f>
        <v>https://www.bocm.es/que-es-bocm</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Inicio/organismo-autonomo</v>
      </c>
      <c r="C137" s="85" t="str" cm="1">
        <f t="array" ref="C137">IFERROR(INDEX('03.Muestra'!$F$8:$F$42,SMALL(IF("Página Web"='03.Muestra'!$D$8:$D$42,ROW('03.Muestra'!$F$8:$F$42)-MIN(ROW('03.Muestra'!$D$8:$D$42))+1,""),ROW()-132)),"")</f>
        <v>https://www.bocm.es/organismo-autonomo</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Inicio/s/publicar-anuncio</v>
      </c>
      <c r="C138" s="85" t="str" cm="1">
        <f t="array" ref="C138">IFERROR(INDEX('03.Muestra'!$F$8:$F$42,SMALL(IF("Página Web"='03.Muestra'!$D$8:$D$42,ROW('03.Muestra'!$F$8:$F$42)-MIN(ROW('03.Muestra'!$D$8:$D$42))+1,""),ROW()-132)),"")</f>
        <v>https://www.bocm.es/publicar-anuncio</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Inicio/declaracion-de-accesibilidad</v>
      </c>
      <c r="C139" s="85" t="str" cm="1">
        <f t="array" ref="C139">IFERROR(INDEX('03.Muestra'!$F$8:$F$42,SMALL(IF("Página Web"='03.Muestra'!$D$8:$D$42,ROW('03.Muestra'!$F$8:$F$42)-MIN(ROW('03.Muestra'!$D$8:$D$42))+1,""),ROW()-132)),"")</f>
        <v>https://www.bocm.es/declaracion-de-accesibilidad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https://www.bocm.es/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Inicio/ultimo-bocm</v>
      </c>
      <c r="C172" s="85" t="str" cm="1">
        <f t="array" ref="C172">IFERROR(INDEX('03.Muestra'!$F$8:$F$42,SMALL(IF("Página Web"='03.Muestra'!$D$8:$D$42,ROW('03.Muestra'!$F$8:$F$42)-MIN(ROW('03.Muestra'!$D$8:$D$42))+1,""),ROW()-170)),"")</f>
        <v>https://www.bocm.es/ultimo-bocm</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Inicio/autentificacion-verificacion</v>
      </c>
      <c r="C173" s="85" t="str" cm="1">
        <f t="array" ref="C173">IFERROR(INDEX('03.Muestra'!$F$8:$F$42,SMALL(IF("Página Web"='03.Muestra'!$D$8:$D$42,ROW('03.Muestra'!$F$8:$F$42)-MIN(ROW('03.Muestra'!$D$8:$D$42))+1,""),ROW()-170)),"")</f>
        <v>https://www.bocm.es/autentificacion-verificacion</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Inicio/que-es-bocm</v>
      </c>
      <c r="C174" s="85" t="str" cm="1">
        <f t="array" ref="C174">IFERROR(INDEX('03.Muestra'!$F$8:$F$42,SMALL(IF("Página Web"='03.Muestra'!$D$8:$D$42,ROW('03.Muestra'!$F$8:$F$42)-MIN(ROW('03.Muestra'!$D$8:$D$42))+1,""),ROW()-170)),"")</f>
        <v>https://www.bocm.es/que-es-bocm</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Inicio/organismo-autonomo</v>
      </c>
      <c r="C175" s="85" t="str" cm="1">
        <f t="array" ref="C175">IFERROR(INDEX('03.Muestra'!$F$8:$F$42,SMALL(IF("Página Web"='03.Muestra'!$D$8:$D$42,ROW('03.Muestra'!$F$8:$F$42)-MIN(ROW('03.Muestra'!$D$8:$D$42))+1,""),ROW()-170)),"")</f>
        <v>https://www.bocm.es/organismo-autonomo</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Inicio/s/publicar-anuncio</v>
      </c>
      <c r="C176" s="85" t="str" cm="1">
        <f t="array" ref="C176">IFERROR(INDEX('03.Muestra'!$F$8:$F$42,SMALL(IF("Página Web"='03.Muestra'!$D$8:$D$42,ROW('03.Muestra'!$F$8:$F$42)-MIN(ROW('03.Muestra'!$D$8:$D$42))+1,""),ROW()-170)),"")</f>
        <v>https://www.bocm.es/publicar-anuncio</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Inicio/declaracion-de-accesibilidad</v>
      </c>
      <c r="C177" s="85" t="str" cm="1">
        <f t="array" ref="C177">IFERROR(INDEX('03.Muestra'!$F$8:$F$42,SMALL(IF("Página Web"='03.Muestra'!$D$8:$D$42,ROW('03.Muestra'!$F$8:$F$42)-MIN(ROW('03.Muestra'!$D$8:$D$42))+1,""),ROW()-170)),"")</f>
        <v>https://www.bocm.es/declaracion-de-accesibilidad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https://www.bocm.es/</v>
      </c>
      <c r="D209" s="99" t="s">
        <v>92</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Inicio/ultimo-bocm</v>
      </c>
      <c r="C210" s="85" t="str" cm="1">
        <f t="array" ref="C210">IFERROR(INDEX('03.Muestra'!$F$8:$F$42,SMALL(IF("Página Web"='03.Muestra'!$D$8:$D$42,ROW('03.Muestra'!$F$8:$F$42)-MIN(ROW('03.Muestra'!$D$8:$D$42))+1,""),ROW()-208)),"")</f>
        <v>https://www.bocm.es/ultimo-bocm</v>
      </c>
      <c r="D210" s="99" t="s">
        <v>92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7</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Inicio/autentificacion-verificacion</v>
      </c>
      <c r="C211" s="85" t="str" cm="1">
        <f t="array" ref="C211">IFERROR(INDEX('03.Muestra'!$F$8:$F$42,SMALL(IF("Página Web"='03.Muestra'!$D$8:$D$42,ROW('03.Muestra'!$F$8:$F$42)-MIN(ROW('03.Muestra'!$D$8:$D$42))+1,""),ROW()-208)),"")</f>
        <v>https://www.bocm.es/autentificacion-verificacion</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Inicio/que-es-bocm</v>
      </c>
      <c r="C212" s="85" t="str" cm="1">
        <f t="array" ref="C212">IFERROR(INDEX('03.Muestra'!$F$8:$F$42,SMALL(IF("Página Web"='03.Muestra'!$D$8:$D$42,ROW('03.Muestra'!$F$8:$F$42)-MIN(ROW('03.Muestra'!$D$8:$D$42))+1,""),ROW()-208)),"")</f>
        <v>https://www.bocm.es/que-es-bocm</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Inicio/organismo-autonomo</v>
      </c>
      <c r="C213" s="85" t="str" cm="1">
        <f t="array" ref="C213">IFERROR(INDEX('03.Muestra'!$F$8:$F$42,SMALL(IF("Página Web"='03.Muestra'!$D$8:$D$42,ROW('03.Muestra'!$F$8:$F$42)-MIN(ROW('03.Muestra'!$D$8:$D$42))+1,""),ROW()-208)),"")</f>
        <v>https://www.bocm.es/organismo-autonomo</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Inicio/s/publicar-anuncio</v>
      </c>
      <c r="C214" s="85" t="str" cm="1">
        <f t="array" ref="C214">IFERROR(INDEX('03.Muestra'!$F$8:$F$42,SMALL(IF("Página Web"='03.Muestra'!$D$8:$D$42,ROW('03.Muestra'!$F$8:$F$42)-MIN(ROW('03.Muestra'!$D$8:$D$42))+1,""),ROW()-208)),"")</f>
        <v>https://www.bocm.es/publicar-anuncio</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Inicio/declaracion-de-accesibilidad</v>
      </c>
      <c r="C215" s="85" t="str" cm="1">
        <f t="array" ref="C215">IFERROR(INDEX('03.Muestra'!$F$8:$F$42,SMALL(IF("Página Web"='03.Muestra'!$D$8:$D$42,ROW('03.Muestra'!$F$8:$F$42)-MIN(ROW('03.Muestra'!$D$8:$D$42))+1,""),ROW()-208)),"")</f>
        <v>https://www.bocm.es/declaracion-de-accesibilidad</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https://www.bocm.es/</v>
      </c>
      <c r="D247" s="99" t="s">
        <v>92</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Inicio/ultimo-bocm</v>
      </c>
      <c r="C248" s="85" t="str" cm="1">
        <f t="array" ref="C248">IFERROR(INDEX('03.Muestra'!$F$8:$F$42,SMALL(IF("Página Web"='03.Muestra'!$D$8:$D$42,ROW('03.Muestra'!$F$8:$F$42)-MIN(ROW('03.Muestra'!$D$8:$D$42))+1,""),ROW()-246)),"")</f>
        <v>https://www.bocm.es/ultimo-bocm</v>
      </c>
      <c r="D248" s="99" t="s">
        <v>92</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7</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Inicio/autentificacion-verificacion</v>
      </c>
      <c r="C249" s="85" t="str" cm="1">
        <f t="array" ref="C249">IFERROR(INDEX('03.Muestra'!$F$8:$F$42,SMALL(IF("Página Web"='03.Muestra'!$D$8:$D$42,ROW('03.Muestra'!$F$8:$F$42)-MIN(ROW('03.Muestra'!$D$8:$D$42))+1,""),ROW()-246)),"")</f>
        <v>https://www.bocm.es/autentificacion-verificacion</v>
      </c>
      <c r="D249" s="99" t="s">
        <v>92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Inicio/que-es-bocm</v>
      </c>
      <c r="C250" s="85" t="str" cm="1">
        <f t="array" ref="C250">IFERROR(INDEX('03.Muestra'!$F$8:$F$42,SMALL(IF("Página Web"='03.Muestra'!$D$8:$D$42,ROW('03.Muestra'!$F$8:$F$42)-MIN(ROW('03.Muestra'!$D$8:$D$42))+1,""),ROW()-246)),"")</f>
        <v>https://www.bocm.es/que-es-bocm</v>
      </c>
      <c r="D250" s="99" t="s">
        <v>92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Inicio/organismo-autonomo</v>
      </c>
      <c r="C251" s="85" t="str" cm="1">
        <f t="array" ref="C251">IFERROR(INDEX('03.Muestra'!$F$8:$F$42,SMALL(IF("Página Web"='03.Muestra'!$D$8:$D$42,ROW('03.Muestra'!$F$8:$F$42)-MIN(ROW('03.Muestra'!$D$8:$D$42))+1,""),ROW()-246)),"")</f>
        <v>https://www.bocm.es/organismo-autonomo</v>
      </c>
      <c r="D251" s="99" t="s">
        <v>92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Inicio/s/publicar-anuncio</v>
      </c>
      <c r="C252" s="85" t="str" cm="1">
        <f t="array" ref="C252">IFERROR(INDEX('03.Muestra'!$F$8:$F$42,SMALL(IF("Página Web"='03.Muestra'!$D$8:$D$42,ROW('03.Muestra'!$F$8:$F$42)-MIN(ROW('03.Muestra'!$D$8:$D$42))+1,""),ROW()-246)),"")</f>
        <v>https://www.bocm.es/publicar-anuncio</v>
      </c>
      <c r="D252" s="99" t="s">
        <v>92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Inicio/declaracion-de-accesibilidad</v>
      </c>
      <c r="C253" s="85" t="str" cm="1">
        <f t="array" ref="C253">IFERROR(INDEX('03.Muestra'!$F$8:$F$42,SMALL(IF("Página Web"='03.Muestra'!$D$8:$D$42,ROW('03.Muestra'!$F$8:$F$42)-MIN(ROW('03.Muestra'!$D$8:$D$42))+1,""),ROW()-246)),"")</f>
        <v>https://www.bocm.es/declaracion-de-accesibilidad</v>
      </c>
      <c r="D253" s="99" t="s">
        <v>92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ref="D254:D281" si="13">IF(AND(B254&lt;&gt;"",C254&lt;&gt;""),"N/T","")</f>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https://www.bocm.es/</v>
      </c>
      <c r="D285" s="99" t="s">
        <v>92</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Inicio/ultimo-bocm</v>
      </c>
      <c r="C286" s="85" t="str" cm="1">
        <f t="array" ref="C286">IFERROR(INDEX('03.Muestra'!$F$8:$F$42,SMALL(IF("Página Web"='03.Muestra'!$D$8:$D$42,ROW('03.Muestra'!$F$8:$F$42)-MIN(ROW('03.Muestra'!$D$8:$D$42))+1,""),ROW()-284)),"")</f>
        <v>https://www.bocm.es/ultimo-bocm</v>
      </c>
      <c r="D286" s="99" t="s">
        <v>92</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7</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Inicio/autentificacion-verificacion</v>
      </c>
      <c r="C287" s="85" t="str" cm="1">
        <f t="array" ref="C287">IFERROR(INDEX('03.Muestra'!$F$8:$F$42,SMALL(IF("Página Web"='03.Muestra'!$D$8:$D$42,ROW('03.Muestra'!$F$8:$F$42)-MIN(ROW('03.Muestra'!$D$8:$D$42))+1,""),ROW()-284)),"")</f>
        <v>https://www.bocm.es/autentificacion-verificacion</v>
      </c>
      <c r="D287" s="99" t="s">
        <v>92</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Inicio/que-es-bocm</v>
      </c>
      <c r="C288" s="85" t="str" cm="1">
        <f t="array" ref="C288">IFERROR(INDEX('03.Muestra'!$F$8:$F$42,SMALL(IF("Página Web"='03.Muestra'!$D$8:$D$42,ROW('03.Muestra'!$F$8:$F$42)-MIN(ROW('03.Muestra'!$D$8:$D$42))+1,""),ROW()-284)),"")</f>
        <v>https://www.bocm.es/que-es-bocm</v>
      </c>
      <c r="D288" s="99" t="s">
        <v>92</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Inicio/organismo-autonomo</v>
      </c>
      <c r="C289" s="85" t="str" cm="1">
        <f t="array" ref="C289">IFERROR(INDEX('03.Muestra'!$F$8:$F$42,SMALL(IF("Página Web"='03.Muestra'!$D$8:$D$42,ROW('03.Muestra'!$F$8:$F$42)-MIN(ROW('03.Muestra'!$D$8:$D$42))+1,""),ROW()-284)),"")</f>
        <v>https://www.bocm.es/organismo-autonomo</v>
      </c>
      <c r="D289" s="99" t="s">
        <v>92</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Inicio/s/publicar-anuncio</v>
      </c>
      <c r="C290" s="85" t="str" cm="1">
        <f t="array" ref="C290">IFERROR(INDEX('03.Muestra'!$F$8:$F$42,SMALL(IF("Página Web"='03.Muestra'!$D$8:$D$42,ROW('03.Muestra'!$F$8:$F$42)-MIN(ROW('03.Muestra'!$D$8:$D$42))+1,""),ROW()-284)),"")</f>
        <v>https://www.bocm.es/publicar-anuncio</v>
      </c>
      <c r="D290" s="99" t="s">
        <v>92</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Inicio/declaracion-de-accesibilidad</v>
      </c>
      <c r="C291" s="85" t="str" cm="1">
        <f t="array" ref="C291">IFERROR(INDEX('03.Muestra'!$F$8:$F$42,SMALL(IF("Página Web"='03.Muestra'!$D$8:$D$42,ROW('03.Muestra'!$F$8:$F$42)-MIN(ROW('03.Muestra'!$D$8:$D$42))+1,""),ROW()-284)),"")</f>
        <v>https://www.bocm.es/declaracion-de-accesibilidad</v>
      </c>
      <c r="D291" s="99" t="s">
        <v>92</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ref="D292:D319" si="15">IF(AND(B292&lt;&gt;"",C292&lt;&gt;""),"N/T","")</f>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https://www.bocm.es/</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Inicio/ultimo-bocm</v>
      </c>
      <c r="C324" s="85" t="str" cm="1">
        <f t="array" ref="C324">IFERROR(INDEX('03.Muestra'!$F$8:$F$42,SMALL(IF("Página Web"='03.Muestra'!$D$8:$D$42,ROW('03.Muestra'!$F$8:$F$42)-MIN(ROW('03.Muestra'!$D$8:$D$42))+1,""),ROW()-322)),"")</f>
        <v>https://www.bocm.es/ultimo-bocm</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7</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Inicio/autentificacion-verificacion</v>
      </c>
      <c r="C325" s="85" t="str" cm="1">
        <f t="array" ref="C325">IFERROR(INDEX('03.Muestra'!$F$8:$F$42,SMALL(IF("Página Web"='03.Muestra'!$D$8:$D$42,ROW('03.Muestra'!$F$8:$F$42)-MIN(ROW('03.Muestra'!$D$8:$D$42))+1,""),ROW()-322)),"")</f>
        <v>https://www.bocm.es/autentificacion-verificacion</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Inicio/que-es-bocm</v>
      </c>
      <c r="C326" s="85" t="str" cm="1">
        <f t="array" ref="C326">IFERROR(INDEX('03.Muestra'!$F$8:$F$42,SMALL(IF("Página Web"='03.Muestra'!$D$8:$D$42,ROW('03.Muestra'!$F$8:$F$42)-MIN(ROW('03.Muestra'!$D$8:$D$42))+1,""),ROW()-322)),"")</f>
        <v>https://www.bocm.es/que-es-bocm</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Inicio/organismo-autonomo</v>
      </c>
      <c r="C327" s="85" t="str" cm="1">
        <f t="array" ref="C327">IFERROR(INDEX('03.Muestra'!$F$8:$F$42,SMALL(IF("Página Web"='03.Muestra'!$D$8:$D$42,ROW('03.Muestra'!$F$8:$F$42)-MIN(ROW('03.Muestra'!$D$8:$D$42))+1,""),ROW()-322)),"")</f>
        <v>https://www.bocm.es/organismo-autonomo</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Inicio/s/publicar-anuncio</v>
      </c>
      <c r="C328" s="85" t="str" cm="1">
        <f t="array" ref="C328">IFERROR(INDEX('03.Muestra'!$F$8:$F$42,SMALL(IF("Página Web"='03.Muestra'!$D$8:$D$42,ROW('03.Muestra'!$F$8:$F$42)-MIN(ROW('03.Muestra'!$D$8:$D$42))+1,""),ROW()-322)),"")</f>
        <v>https://www.bocm.es/publicar-anuncio</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Inicio/declaracion-de-accesibilidad</v>
      </c>
      <c r="C329" s="85" t="str" cm="1">
        <f t="array" ref="C329">IFERROR(INDEX('03.Muestra'!$F$8:$F$42,SMALL(IF("Página Web"='03.Muestra'!$D$8:$D$42,ROW('03.Muestra'!$F$8:$F$42)-MIN(ROW('03.Muestra'!$D$8:$D$42))+1,""),ROW()-322)),"")</f>
        <v>https://www.bocm.es/declaracion-de-accesibilidad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ref="D330:D357" si="17">IF(AND(B330&lt;&gt;"",C330&lt;&gt;""),"N/T","")</f>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https://www.bocm.es/</v>
      </c>
      <c r="D361" s="99" t="s">
        <v>92</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Inicio/ultimo-bocm</v>
      </c>
      <c r="C362" s="85" t="str" cm="1">
        <f t="array" ref="C362">IFERROR(INDEX('03.Muestra'!$F$8:$F$42,SMALL(IF("Página Web"='03.Muestra'!$D$8:$D$42,ROW('03.Muestra'!$F$8:$F$42)-MIN(ROW('03.Muestra'!$D$8:$D$42))+1,""),ROW()-360)),"")</f>
        <v>https://www.bocm.es/ultimo-bocm</v>
      </c>
      <c r="D362" s="99" t="s">
        <v>92</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7</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Inicio/autentificacion-verificacion</v>
      </c>
      <c r="C363" s="85" t="str" cm="1">
        <f t="array" ref="C363">IFERROR(INDEX('03.Muestra'!$F$8:$F$42,SMALL(IF("Página Web"='03.Muestra'!$D$8:$D$42,ROW('03.Muestra'!$F$8:$F$42)-MIN(ROW('03.Muestra'!$D$8:$D$42))+1,""),ROW()-360)),"")</f>
        <v>https://www.bocm.es/autentificacion-verificacion</v>
      </c>
      <c r="D363" s="99" t="s">
        <v>92</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Inicio/que-es-bocm</v>
      </c>
      <c r="C364" s="85" t="str" cm="1">
        <f t="array" ref="C364">IFERROR(INDEX('03.Muestra'!$F$8:$F$42,SMALL(IF("Página Web"='03.Muestra'!$D$8:$D$42,ROW('03.Muestra'!$F$8:$F$42)-MIN(ROW('03.Muestra'!$D$8:$D$42))+1,""),ROW()-360)),"")</f>
        <v>https://www.bocm.es/que-es-bocm</v>
      </c>
      <c r="D364" s="99" t="s">
        <v>92</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Inicio/organismo-autonomo</v>
      </c>
      <c r="C365" s="85" t="str" cm="1">
        <f t="array" ref="C365">IFERROR(INDEX('03.Muestra'!$F$8:$F$42,SMALL(IF("Página Web"='03.Muestra'!$D$8:$D$42,ROW('03.Muestra'!$F$8:$F$42)-MIN(ROW('03.Muestra'!$D$8:$D$42))+1,""),ROW()-360)),"")</f>
        <v>https://www.bocm.es/organismo-autonomo</v>
      </c>
      <c r="D365" s="99" t="s">
        <v>92</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Inicio/s/publicar-anuncio</v>
      </c>
      <c r="C366" s="85" t="str" cm="1">
        <f t="array" ref="C366">IFERROR(INDEX('03.Muestra'!$F$8:$F$42,SMALL(IF("Página Web"='03.Muestra'!$D$8:$D$42,ROW('03.Muestra'!$F$8:$F$42)-MIN(ROW('03.Muestra'!$D$8:$D$42))+1,""),ROW()-360)),"")</f>
        <v>https://www.bocm.es/publicar-anuncio</v>
      </c>
      <c r="D366" s="99" t="s">
        <v>92</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Inicio/declaracion-de-accesibilidad</v>
      </c>
      <c r="C367" s="85" t="str" cm="1">
        <f t="array" ref="C367">IFERROR(INDEX('03.Muestra'!$F$8:$F$42,SMALL(IF("Página Web"='03.Muestra'!$D$8:$D$42,ROW('03.Muestra'!$F$8:$F$42)-MIN(ROW('03.Muestra'!$D$8:$D$42))+1,""),ROW()-360)),"")</f>
        <v>https://www.bocm.es/declaracion-de-accesibilidad</v>
      </c>
      <c r="D367" s="99" t="s">
        <v>92</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IFERROR(INDEX('03.Muestra'!$B$8:$B$42,SMALL(IF("Página Web"='03.Muestra'!$D$8:$D$42,ROW('03.Muestra'!$B$8:$B$42)-MIN(ROW('03.Muestra'!$D$8:$D$42))+1,""),ROW()-360)),"")</f>
        <v/>
      </c>
      <c r="B368" s="85" t="str" cm="1">
        <f t="array" ref="B368">IFERROR(INDEX('03.Muestra'!$C$8:$C$42,SMALL(IF("Página Web"='03.Muestra'!$D$8:$D$42,ROW('03.Muestra'!$C$8:$C$42)-MIN(ROW('03.Muestra'!$D$8:$D$42))+1,""),ROW()-360)),"")</f>
        <v/>
      </c>
      <c r="C368" s="85" t="str" cm="1">
        <f t="array" ref="C368">IFERROR(INDEX('03.Muestra'!$F$8:$F$42,SMALL(IF("Página Web"='03.Muestra'!$D$8:$D$42,ROW('03.Muestra'!$F$8:$F$42)-MIN(ROW('03.Muestra'!$D$8:$D$42))+1,""),ROW()-360)),"")</f>
        <v/>
      </c>
      <c r="D368" s="99" t="str">
        <f t="shared" ref="D368:D395" si="19">IF(AND(B368&lt;&gt;"",C368&lt;&gt;""),"N/T","")</f>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https://www.bocm.es/</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Inicio/ultimo-bocm</v>
      </c>
      <c r="C400" s="85" t="str" cm="1">
        <f t="array" ref="C400">IFERROR(INDEX('03.Muestra'!$F$8:$F$42,SMALL(IF("Página Web"='03.Muestra'!$D$8:$D$42,ROW('03.Muestra'!$F$8:$F$42)-MIN(ROW('03.Muestra'!$D$8:$D$42))+1,""),ROW()-398)),"")</f>
        <v>https://www.bocm.es/ultimo-bocm</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7</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Inicio/autentificacion-verificacion</v>
      </c>
      <c r="C401" s="85" t="str" cm="1">
        <f t="array" ref="C401">IFERROR(INDEX('03.Muestra'!$F$8:$F$42,SMALL(IF("Página Web"='03.Muestra'!$D$8:$D$42,ROW('03.Muestra'!$F$8:$F$42)-MIN(ROW('03.Muestra'!$D$8:$D$42))+1,""),ROW()-398)),"")</f>
        <v>https://www.bocm.es/autentificacion-verificacion</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Inicio/que-es-bocm</v>
      </c>
      <c r="C402" s="85" t="str" cm="1">
        <f t="array" ref="C402">IFERROR(INDEX('03.Muestra'!$F$8:$F$42,SMALL(IF("Página Web"='03.Muestra'!$D$8:$D$42,ROW('03.Muestra'!$F$8:$F$42)-MIN(ROW('03.Muestra'!$D$8:$D$42))+1,""),ROW()-398)),"")</f>
        <v>https://www.bocm.es/que-es-bocm</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Inicio/organismo-autonomo</v>
      </c>
      <c r="C403" s="85" t="str" cm="1">
        <f t="array" ref="C403">IFERROR(INDEX('03.Muestra'!$F$8:$F$42,SMALL(IF("Página Web"='03.Muestra'!$D$8:$D$42,ROW('03.Muestra'!$F$8:$F$42)-MIN(ROW('03.Muestra'!$D$8:$D$42))+1,""),ROW()-398)),"")</f>
        <v>https://www.bocm.es/organismo-autonomo</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Inicio/s/publicar-anuncio</v>
      </c>
      <c r="C404" s="85" t="str" cm="1">
        <f t="array" ref="C404">IFERROR(INDEX('03.Muestra'!$F$8:$F$42,SMALL(IF("Página Web"='03.Muestra'!$D$8:$D$42,ROW('03.Muestra'!$F$8:$F$42)-MIN(ROW('03.Muestra'!$D$8:$D$42))+1,""),ROW()-398)),"")</f>
        <v>https://www.bocm.es/publicar-anuncio</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Inicio/declaracion-de-accesibilidad</v>
      </c>
      <c r="C405" s="85" t="str" cm="1">
        <f t="array" ref="C405">IFERROR(INDEX('03.Muestra'!$F$8:$F$42,SMALL(IF("Página Web"='03.Muestra'!$D$8:$D$42,ROW('03.Muestra'!$F$8:$F$42)-MIN(ROW('03.Muestra'!$D$8:$D$42))+1,""),ROW()-398)),"")</f>
        <v>https://www.bocm.es/declaracion-de-accesibilidad</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IFERROR(INDEX('03.Muestra'!$B$8:$B$42,SMALL(IF("Página Web"='03.Muestra'!$D$8:$D$42,ROW('03.Muestra'!$B$8:$B$42)-MIN(ROW('03.Muestra'!$D$8:$D$42))+1,""),ROW()-398)),"")</f>
        <v/>
      </c>
      <c r="B406" s="85" t="str" cm="1">
        <f t="array" ref="B406">IFERROR(INDEX('03.Muestra'!$C$8:$C$42,SMALL(IF("Página Web"='03.Muestra'!$D$8:$D$42,ROW('03.Muestra'!$C$8:$C$42)-MIN(ROW('03.Muestra'!$D$8:$D$42))+1,""),ROW()-398)),"")</f>
        <v/>
      </c>
      <c r="C406" s="85" t="str" cm="1">
        <f t="array" ref="C406">IFERROR(INDEX('03.Muestra'!$F$8:$F$42,SMALL(IF("Página Web"='03.Muestra'!$D$8:$D$42,ROW('03.Muestra'!$F$8:$F$42)-MIN(ROW('03.Muestra'!$D$8:$D$42))+1,""),ROW()-398)),"")</f>
        <v/>
      </c>
      <c r="D406" s="99" t="str">
        <f t="shared" ref="D406:D433" si="21">IF(AND(B406&lt;&gt;"",C406&lt;&gt;""),"N/T","")</f>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https://www.bocm.es/</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Inicio/ultimo-bocm</v>
      </c>
      <c r="C438" s="85" t="str" cm="1">
        <f t="array" ref="C438">IFERROR(INDEX('03.Muestra'!$F$8:$F$42,SMALL(IF("Página Web"='03.Muestra'!$D$8:$D$42,ROW('03.Muestra'!$F$8:$F$42)-MIN(ROW('03.Muestra'!$D$8:$D$42))+1,""),ROW()-436)),"")</f>
        <v>https://www.bocm.es/ultimo-bocm</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7</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Inicio/autentificacion-verificacion</v>
      </c>
      <c r="C439" s="85" t="str" cm="1">
        <f t="array" ref="C439">IFERROR(INDEX('03.Muestra'!$F$8:$F$42,SMALL(IF("Página Web"='03.Muestra'!$D$8:$D$42,ROW('03.Muestra'!$F$8:$F$42)-MIN(ROW('03.Muestra'!$D$8:$D$42))+1,""),ROW()-436)),"")</f>
        <v>https://www.bocm.es/autentificacion-verificacion</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Inicio/que-es-bocm</v>
      </c>
      <c r="C440" s="85" t="str" cm="1">
        <f t="array" ref="C440">IFERROR(INDEX('03.Muestra'!$F$8:$F$42,SMALL(IF("Página Web"='03.Muestra'!$D$8:$D$42,ROW('03.Muestra'!$F$8:$F$42)-MIN(ROW('03.Muestra'!$D$8:$D$42))+1,""),ROW()-436)),"")</f>
        <v>https://www.bocm.es/que-es-bocm</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Inicio/organismo-autonomo</v>
      </c>
      <c r="C441" s="85" t="str" cm="1">
        <f t="array" ref="C441">IFERROR(INDEX('03.Muestra'!$F$8:$F$42,SMALL(IF("Página Web"='03.Muestra'!$D$8:$D$42,ROW('03.Muestra'!$F$8:$F$42)-MIN(ROW('03.Muestra'!$D$8:$D$42))+1,""),ROW()-436)),"")</f>
        <v>https://www.bocm.es/organismo-autonomo</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Inicio/s/publicar-anuncio</v>
      </c>
      <c r="C442" s="85" t="str" cm="1">
        <f t="array" ref="C442">IFERROR(INDEX('03.Muestra'!$F$8:$F$42,SMALL(IF("Página Web"='03.Muestra'!$D$8:$D$42,ROW('03.Muestra'!$F$8:$F$42)-MIN(ROW('03.Muestra'!$D$8:$D$42))+1,""),ROW()-436)),"")</f>
        <v>https://www.bocm.es/publicar-anuncio</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Inicio/declaracion-de-accesibilidad</v>
      </c>
      <c r="C443" s="85" t="str" cm="1">
        <f t="array" ref="C443">IFERROR(INDEX('03.Muestra'!$F$8:$F$42,SMALL(IF("Página Web"='03.Muestra'!$D$8:$D$42,ROW('03.Muestra'!$F$8:$F$42)-MIN(ROW('03.Muestra'!$D$8:$D$42))+1,""),ROW()-436)),"")</f>
        <v>https://www.bocm.es/declaracion-de-accesibilidad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IFERROR(INDEX('03.Muestra'!$B$8:$B$42,SMALL(IF("Página Web"='03.Muestra'!$D$8:$D$42,ROW('03.Muestra'!$B$8:$B$42)-MIN(ROW('03.Muestra'!$D$8:$D$42))+1,""),ROW()-436)),"")</f>
        <v/>
      </c>
      <c r="B444" s="85" t="str" cm="1">
        <f t="array" ref="B444">IFERROR(INDEX('03.Muestra'!$C$8:$C$42,SMALL(IF("Página Web"='03.Muestra'!$D$8:$D$42,ROW('03.Muestra'!$C$8:$C$42)-MIN(ROW('03.Muestra'!$D$8:$D$42))+1,""),ROW()-436)),"")</f>
        <v/>
      </c>
      <c r="C444" s="85" t="str" cm="1">
        <f t="array" ref="C444">IFERROR(INDEX('03.Muestra'!$F$8:$F$42,SMALL(IF("Página Web"='03.Muestra'!$D$8:$D$42,ROW('03.Muestra'!$F$8:$F$42)-MIN(ROW('03.Muestra'!$D$8:$D$42))+1,""),ROW()-436)),"")</f>
        <v/>
      </c>
      <c r="D444" s="99" t="str">
        <f t="shared" ref="D444:D471" si="23">IF(AND(B444&lt;&gt;"",C444&lt;&gt;""),"N/T","")</f>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https://www.bocm.es/</v>
      </c>
      <c r="D475" s="99" t="s">
        <v>94</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Inicio/ultimo-bocm</v>
      </c>
      <c r="C476" s="85" t="str" cm="1">
        <f t="array" ref="C476">IFERROR(INDEX('03.Muestra'!$F$8:$F$42,SMALL(IF("Página Web"='03.Muestra'!$D$8:$D$42,ROW('03.Muestra'!$F$8:$F$42)-MIN(ROW('03.Muestra'!$D$8:$D$42))+1,""),ROW()-474)),"")</f>
        <v>https://www.bocm.es/ultimo-bocm</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5</v>
      </c>
      <c r="J476" s="91">
        <f ca="1">COUNTIF($D475:INDIRECT("$D" &amp;  SUM(ROW()-1,'03.Muestra'!$D$45)-1),J475)</f>
        <v>2</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Inicio/autentificacion-verificacion</v>
      </c>
      <c r="C477" s="85" t="str" cm="1">
        <f t="array" ref="C477">IFERROR(INDEX('03.Muestra'!$F$8:$F$42,SMALL(IF("Página Web"='03.Muestra'!$D$8:$D$42,ROW('03.Muestra'!$F$8:$F$42)-MIN(ROW('03.Muestra'!$D$8:$D$42))+1,""),ROW()-474)),"")</f>
        <v>https://www.bocm.es/autentificacion-verificacion</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Inicio/que-es-bocm</v>
      </c>
      <c r="C478" s="85" t="str" cm="1">
        <f t="array" ref="C478">IFERROR(INDEX('03.Muestra'!$F$8:$F$42,SMALL(IF("Página Web"='03.Muestra'!$D$8:$D$42,ROW('03.Muestra'!$F$8:$F$42)-MIN(ROW('03.Muestra'!$D$8:$D$42))+1,""),ROW()-474)),"")</f>
        <v>https://www.bocm.es/que-es-bocm</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Inicio/organismo-autonomo</v>
      </c>
      <c r="C479" s="85" t="str" cm="1">
        <f t="array" ref="C479">IFERROR(INDEX('03.Muestra'!$F$8:$F$42,SMALL(IF("Página Web"='03.Muestra'!$D$8:$D$42,ROW('03.Muestra'!$F$8:$F$42)-MIN(ROW('03.Muestra'!$D$8:$D$42))+1,""),ROW()-474)),"")</f>
        <v>https://www.bocm.es/organismo-autonomo</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Inicio/s/publicar-anuncio</v>
      </c>
      <c r="C480" s="85" t="str" cm="1">
        <f t="array" ref="C480">IFERROR(INDEX('03.Muestra'!$F$8:$F$42,SMALL(IF("Página Web"='03.Muestra'!$D$8:$D$42,ROW('03.Muestra'!$F$8:$F$42)-MIN(ROW('03.Muestra'!$D$8:$D$42))+1,""),ROW()-474)),"")</f>
        <v>https://www.bocm.es/publicar-anuncio</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Inicio/declaracion-de-accesibilidad</v>
      </c>
      <c r="C481" s="85" t="str" cm="1">
        <f t="array" ref="C481">IFERROR(INDEX('03.Muestra'!$F$8:$F$42,SMALL(IF("Página Web"='03.Muestra'!$D$8:$D$42,ROW('03.Muestra'!$F$8:$F$42)-MIN(ROW('03.Muestra'!$D$8:$D$42))+1,""),ROW()-474)),"")</f>
        <v>https://www.bocm.es/declaracion-de-accesibilidad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IFERROR(INDEX('03.Muestra'!$B$8:$B$42,SMALL(IF("Página Web"='03.Muestra'!$D$8:$D$42,ROW('03.Muestra'!$B$8:$B$42)-MIN(ROW('03.Muestra'!$D$8:$D$42))+1,""),ROW()-474)),"")</f>
        <v/>
      </c>
      <c r="B482" s="85" t="str" cm="1">
        <f t="array" ref="B482">IFERROR(INDEX('03.Muestra'!$C$8:$C$42,SMALL(IF("Página Web"='03.Muestra'!$D$8:$D$42,ROW('03.Muestra'!$C$8:$C$42)-MIN(ROW('03.Muestra'!$D$8:$D$42))+1,""),ROW()-474)),"")</f>
        <v/>
      </c>
      <c r="C482" s="85" t="str" cm="1">
        <f t="array" ref="C482">IFERROR(INDEX('03.Muestra'!$F$8:$F$42,SMALL(IF("Página Web"='03.Muestra'!$D$8:$D$42,ROW('03.Muestra'!$F$8:$F$42)-MIN(ROW('03.Muestra'!$D$8:$D$42))+1,""),ROW()-474)),"")</f>
        <v/>
      </c>
      <c r="D482" s="99" t="str">
        <f t="shared" ref="D482:D509" si="25">IF(AND(B482&lt;&gt;"",C482&lt;&gt;""),"N/T","")</f>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https://www.bocm.es/</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Inicio/ultimo-bocm</v>
      </c>
      <c r="C514" s="85" t="str" cm="1">
        <f t="array" ref="C514">IFERROR(INDEX('03.Muestra'!$F$8:$F$42,SMALL(IF("Página Web"='03.Muestra'!$D$8:$D$42,ROW('03.Muestra'!$F$8:$F$42)-MIN(ROW('03.Muestra'!$D$8:$D$42))+1,""),ROW()-512)),"")</f>
        <v>https://www.bocm.es/ultimo-bocm</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7</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Inicio/autentificacion-verificacion</v>
      </c>
      <c r="C515" s="85" t="str" cm="1">
        <f t="array" ref="C515">IFERROR(INDEX('03.Muestra'!$F$8:$F$42,SMALL(IF("Página Web"='03.Muestra'!$D$8:$D$42,ROW('03.Muestra'!$F$8:$F$42)-MIN(ROW('03.Muestra'!$D$8:$D$42))+1,""),ROW()-512)),"")</f>
        <v>https://www.bocm.es/autentificacion-verificacion</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Inicio/que-es-bocm</v>
      </c>
      <c r="C516" s="85" t="str" cm="1">
        <f t="array" ref="C516">IFERROR(INDEX('03.Muestra'!$F$8:$F$42,SMALL(IF("Página Web"='03.Muestra'!$D$8:$D$42,ROW('03.Muestra'!$F$8:$F$42)-MIN(ROW('03.Muestra'!$D$8:$D$42))+1,""),ROW()-512)),"")</f>
        <v>https://www.bocm.es/que-es-bocm</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Inicio/organismo-autonomo</v>
      </c>
      <c r="C517" s="85" t="str" cm="1">
        <f t="array" ref="C517">IFERROR(INDEX('03.Muestra'!$F$8:$F$42,SMALL(IF("Página Web"='03.Muestra'!$D$8:$D$42,ROW('03.Muestra'!$F$8:$F$42)-MIN(ROW('03.Muestra'!$D$8:$D$42))+1,""),ROW()-512)),"")</f>
        <v>https://www.bocm.es/organismo-autonomo</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Inicio/s/publicar-anuncio</v>
      </c>
      <c r="C518" s="85" t="str" cm="1">
        <f t="array" ref="C518">IFERROR(INDEX('03.Muestra'!$F$8:$F$42,SMALL(IF("Página Web"='03.Muestra'!$D$8:$D$42,ROW('03.Muestra'!$F$8:$F$42)-MIN(ROW('03.Muestra'!$D$8:$D$42))+1,""),ROW()-512)),"")</f>
        <v>https://www.bocm.es/publicar-anuncio</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Inicio/declaracion-de-accesibilidad</v>
      </c>
      <c r="C519" s="85" t="str" cm="1">
        <f t="array" ref="C519">IFERROR(INDEX('03.Muestra'!$F$8:$F$42,SMALL(IF("Página Web"='03.Muestra'!$D$8:$D$42,ROW('03.Muestra'!$F$8:$F$42)-MIN(ROW('03.Muestra'!$D$8:$D$42))+1,""),ROW()-512)),"")</f>
        <v>https://www.bocm.es/declaracion-de-accesibilidad</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IFERROR(INDEX('03.Muestra'!$B$8:$B$42,SMALL(IF("Página Web"='03.Muestra'!$D$8:$D$42,ROW('03.Muestra'!$B$8:$B$42)-MIN(ROW('03.Muestra'!$D$8:$D$42))+1,""),ROW()-512)),"")</f>
        <v/>
      </c>
      <c r="B520" s="85" t="str" cm="1">
        <f t="array" ref="B520">IFERROR(INDEX('03.Muestra'!$C$8:$C$42,SMALL(IF("Página Web"='03.Muestra'!$D$8:$D$42,ROW('03.Muestra'!$C$8:$C$42)-MIN(ROW('03.Muestra'!$D$8:$D$42))+1,""),ROW()-512)),"")</f>
        <v/>
      </c>
      <c r="C520" s="85" t="str" cm="1">
        <f t="array" ref="C520">IFERROR(INDEX('03.Muestra'!$F$8:$F$42,SMALL(IF("Página Web"='03.Muestra'!$D$8:$D$42,ROW('03.Muestra'!$F$8:$F$42)-MIN(ROW('03.Muestra'!$D$8:$D$42))+1,""),ROW()-512)),"")</f>
        <v/>
      </c>
      <c r="D520" s="99" t="str">
        <f t="shared" ref="D520:D547" si="27">IF(AND(B520&lt;&gt;"",C520&lt;&gt;""),"N/T","")</f>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https://www.bocm.es/</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Inicio/ultimo-bocm</v>
      </c>
      <c r="C552" s="85" t="str" cm="1">
        <f t="array" ref="C552">IFERROR(INDEX('03.Muestra'!$F$8:$F$42,SMALL(IF("Página Web"='03.Muestra'!$D$8:$D$42,ROW('03.Muestra'!$F$8:$F$42)-MIN(ROW('03.Muestra'!$D$8:$D$42))+1,""),ROW()-550)),"")</f>
        <v>https://www.bocm.es/ultimo-bocm</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7</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Inicio/autentificacion-verificacion</v>
      </c>
      <c r="C553" s="85" t="str" cm="1">
        <f t="array" ref="C553">IFERROR(INDEX('03.Muestra'!$F$8:$F$42,SMALL(IF("Página Web"='03.Muestra'!$D$8:$D$42,ROW('03.Muestra'!$F$8:$F$42)-MIN(ROW('03.Muestra'!$D$8:$D$42))+1,""),ROW()-550)),"")</f>
        <v>https://www.bocm.es/autentificacion-verificacion</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Inicio/que-es-bocm</v>
      </c>
      <c r="C554" s="85" t="str" cm="1">
        <f t="array" ref="C554">IFERROR(INDEX('03.Muestra'!$F$8:$F$42,SMALL(IF("Página Web"='03.Muestra'!$D$8:$D$42,ROW('03.Muestra'!$F$8:$F$42)-MIN(ROW('03.Muestra'!$D$8:$D$42))+1,""),ROW()-550)),"")</f>
        <v>https://www.bocm.es/que-es-bocm</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Inicio/organismo-autonomo</v>
      </c>
      <c r="C555" s="85" t="str" cm="1">
        <f t="array" ref="C555">IFERROR(INDEX('03.Muestra'!$F$8:$F$42,SMALL(IF("Página Web"='03.Muestra'!$D$8:$D$42,ROW('03.Muestra'!$F$8:$F$42)-MIN(ROW('03.Muestra'!$D$8:$D$42))+1,""),ROW()-550)),"")</f>
        <v>https://www.bocm.es/organismo-autonomo</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Inicio/s/publicar-anuncio</v>
      </c>
      <c r="C556" s="85" t="str" cm="1">
        <f t="array" ref="C556">IFERROR(INDEX('03.Muestra'!$F$8:$F$42,SMALL(IF("Página Web"='03.Muestra'!$D$8:$D$42,ROW('03.Muestra'!$F$8:$F$42)-MIN(ROW('03.Muestra'!$D$8:$D$42))+1,""),ROW()-550)),"")</f>
        <v>https://www.bocm.es/publicar-anuncio</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Inicio/declaracion-de-accesibilidad</v>
      </c>
      <c r="C557" s="85" t="str" cm="1">
        <f t="array" ref="C557">IFERROR(INDEX('03.Muestra'!$F$8:$F$42,SMALL(IF("Página Web"='03.Muestra'!$D$8:$D$42,ROW('03.Muestra'!$F$8:$F$42)-MIN(ROW('03.Muestra'!$D$8:$D$42))+1,""),ROW()-550)),"")</f>
        <v>https://www.bocm.es/declaracion-de-accesibilidad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IFERROR(INDEX('03.Muestra'!$B$8:$B$42,SMALL(IF("Página Web"='03.Muestra'!$D$8:$D$42,ROW('03.Muestra'!$B$8:$B$42)-MIN(ROW('03.Muestra'!$D$8:$D$42))+1,""),ROW()-550)),"")</f>
        <v/>
      </c>
      <c r="B558" s="85" t="str" cm="1">
        <f t="array" ref="B558">IFERROR(INDEX('03.Muestra'!$C$8:$C$42,SMALL(IF("Página Web"='03.Muestra'!$D$8:$D$42,ROW('03.Muestra'!$C$8:$C$42)-MIN(ROW('03.Muestra'!$D$8:$D$42))+1,""),ROW()-550)),"")</f>
        <v/>
      </c>
      <c r="C558" s="85" t="str" cm="1">
        <f t="array" ref="C558">IFERROR(INDEX('03.Muestra'!$F$8:$F$42,SMALL(IF("Página Web"='03.Muestra'!$D$8:$D$42,ROW('03.Muestra'!$F$8:$F$42)-MIN(ROW('03.Muestra'!$D$8:$D$42))+1,""),ROW()-550)),"")</f>
        <v/>
      </c>
      <c r="D558" s="99" t="str">
        <f t="shared" ref="D558:D585" si="29">IF(AND(B558&lt;&gt;"",C558&lt;&gt;""),"N/T","")</f>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https://www.bocm.es/</v>
      </c>
      <c r="D589" s="99" t="s">
        <v>92</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Inicio/ultimo-bocm</v>
      </c>
      <c r="C590" s="85" t="str" cm="1">
        <f t="array" ref="C590">IFERROR(INDEX('03.Muestra'!$F$8:$F$42,SMALL(IF("Página Web"='03.Muestra'!$D$8:$D$42,ROW('03.Muestra'!$F$8:$F$42)-MIN(ROW('03.Muestra'!$D$8:$D$42))+1,""),ROW()-588)),"")</f>
        <v>https://www.bocm.es/ultimo-bocm</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7</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Inicio/autentificacion-verificacion</v>
      </c>
      <c r="C591" s="85" t="str" cm="1">
        <f t="array" ref="C591">IFERROR(INDEX('03.Muestra'!$F$8:$F$42,SMALL(IF("Página Web"='03.Muestra'!$D$8:$D$42,ROW('03.Muestra'!$F$8:$F$42)-MIN(ROW('03.Muestra'!$D$8:$D$42))+1,""),ROW()-588)),"")</f>
        <v>https://www.bocm.es/autentificacion-verificacion</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Inicio/que-es-bocm</v>
      </c>
      <c r="C592" s="85" t="str" cm="1">
        <f t="array" ref="C592">IFERROR(INDEX('03.Muestra'!$F$8:$F$42,SMALL(IF("Página Web"='03.Muestra'!$D$8:$D$42,ROW('03.Muestra'!$F$8:$F$42)-MIN(ROW('03.Muestra'!$D$8:$D$42))+1,""),ROW()-588)),"")</f>
        <v>https://www.bocm.es/que-es-bocm</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Inicio/organismo-autonomo</v>
      </c>
      <c r="C593" s="85" t="str" cm="1">
        <f t="array" ref="C593">IFERROR(INDEX('03.Muestra'!$F$8:$F$42,SMALL(IF("Página Web"='03.Muestra'!$D$8:$D$42,ROW('03.Muestra'!$F$8:$F$42)-MIN(ROW('03.Muestra'!$D$8:$D$42))+1,""),ROW()-588)),"")</f>
        <v>https://www.bocm.es/organismo-autonomo</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Inicio/s/publicar-anuncio</v>
      </c>
      <c r="C594" s="85" t="str" cm="1">
        <f t="array" ref="C594">IFERROR(INDEX('03.Muestra'!$F$8:$F$42,SMALL(IF("Página Web"='03.Muestra'!$D$8:$D$42,ROW('03.Muestra'!$F$8:$F$42)-MIN(ROW('03.Muestra'!$D$8:$D$42))+1,""),ROW()-588)),"")</f>
        <v>https://www.bocm.es/publicar-anuncio</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Inicio/declaracion-de-accesibilidad</v>
      </c>
      <c r="C595" s="85" t="str" cm="1">
        <f t="array" ref="C595">IFERROR(INDEX('03.Muestra'!$F$8:$F$42,SMALL(IF("Página Web"='03.Muestra'!$D$8:$D$42,ROW('03.Muestra'!$F$8:$F$42)-MIN(ROW('03.Muestra'!$D$8:$D$42))+1,""),ROW()-588)),"")</f>
        <v>https://www.bocm.es/declaracion-de-accesibilidad</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IFERROR(INDEX('03.Muestra'!$B$8:$B$42,SMALL(IF("Página Web"='03.Muestra'!$D$8:$D$42,ROW('03.Muestra'!$B$8:$B$42)-MIN(ROW('03.Muestra'!$D$8:$D$42))+1,""),ROW()-588)),"")</f>
        <v/>
      </c>
      <c r="B596" s="85" t="str" cm="1">
        <f t="array" ref="B596">IFERROR(INDEX('03.Muestra'!$C$8:$C$42,SMALL(IF("Página Web"='03.Muestra'!$D$8:$D$42,ROW('03.Muestra'!$C$8:$C$42)-MIN(ROW('03.Muestra'!$D$8:$D$42))+1,""),ROW()-588)),"")</f>
        <v/>
      </c>
      <c r="C596" s="85" t="str" cm="1">
        <f t="array" ref="C596">IFERROR(INDEX('03.Muestra'!$F$8:$F$42,SMALL(IF("Página Web"='03.Muestra'!$D$8:$D$42,ROW('03.Muestra'!$F$8:$F$42)-MIN(ROW('03.Muestra'!$D$8:$D$42))+1,""),ROW()-588)),"")</f>
        <v/>
      </c>
      <c r="D596" s="99" t="str">
        <f t="shared" ref="D596:D623" si="31">IF(AND(B596&lt;&gt;"",C596&lt;&gt;""),"N/T","")</f>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https://www.bocm.es/</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Inicio/ultimo-bocm</v>
      </c>
      <c r="C628" s="85" t="str" cm="1">
        <f t="array" ref="C628">IFERROR(INDEX('03.Muestra'!$F$8:$F$42,SMALL(IF("Página Web"='03.Muestra'!$D$8:$D$42,ROW('03.Muestra'!$F$8:$F$42)-MIN(ROW('03.Muestra'!$D$8:$D$42))+1,""),ROW()-626)),"")</f>
        <v>https://www.bocm.es/ultimo-bocm</v>
      </c>
      <c r="D628" s="99" t="s">
        <v>92</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7</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Inicio/autentificacion-verificacion</v>
      </c>
      <c r="C629" s="85" t="str" cm="1">
        <f t="array" ref="C629">IFERROR(INDEX('03.Muestra'!$F$8:$F$42,SMALL(IF("Página Web"='03.Muestra'!$D$8:$D$42,ROW('03.Muestra'!$F$8:$F$42)-MIN(ROW('03.Muestra'!$D$8:$D$42))+1,""),ROW()-626)),"")</f>
        <v>https://www.bocm.es/autentificacion-verificacion</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Inicio/que-es-bocm</v>
      </c>
      <c r="C630" s="85" t="str" cm="1">
        <f t="array" ref="C630">IFERROR(INDEX('03.Muestra'!$F$8:$F$42,SMALL(IF("Página Web"='03.Muestra'!$D$8:$D$42,ROW('03.Muestra'!$F$8:$F$42)-MIN(ROW('03.Muestra'!$D$8:$D$42))+1,""),ROW()-626)),"")</f>
        <v>https://www.bocm.es/que-es-bocm</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Inicio/organismo-autonomo</v>
      </c>
      <c r="C631" s="85" t="str" cm="1">
        <f t="array" ref="C631">IFERROR(INDEX('03.Muestra'!$F$8:$F$42,SMALL(IF("Página Web"='03.Muestra'!$D$8:$D$42,ROW('03.Muestra'!$F$8:$F$42)-MIN(ROW('03.Muestra'!$D$8:$D$42))+1,""),ROW()-626)),"")</f>
        <v>https://www.bocm.es/organismo-autonomo</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Inicio/s/publicar-anuncio</v>
      </c>
      <c r="C632" s="85" t="str" cm="1">
        <f t="array" ref="C632">IFERROR(INDEX('03.Muestra'!$F$8:$F$42,SMALL(IF("Página Web"='03.Muestra'!$D$8:$D$42,ROW('03.Muestra'!$F$8:$F$42)-MIN(ROW('03.Muestra'!$D$8:$D$42))+1,""),ROW()-626)),"")</f>
        <v>https://www.bocm.es/publicar-anuncio</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Inicio/declaracion-de-accesibilidad</v>
      </c>
      <c r="C633" s="85" t="str" cm="1">
        <f t="array" ref="C633">IFERROR(INDEX('03.Muestra'!$F$8:$F$42,SMALL(IF("Página Web"='03.Muestra'!$D$8:$D$42,ROW('03.Muestra'!$F$8:$F$42)-MIN(ROW('03.Muestra'!$D$8:$D$42))+1,""),ROW()-626)),"")</f>
        <v>https://www.bocm.es/declaracion-de-accesibilidad</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t="str" cm="1">
        <f t="array" ref="A634">IFERROR(INDEX('03.Muestra'!$B$8:$B$42,SMALL(IF("Página Web"='03.Muestra'!$D$8:$D$42,ROW('03.Muestra'!$B$8:$B$42)-MIN(ROW('03.Muestra'!$D$8:$D$42))+1,""),ROW()-626)),"")</f>
        <v/>
      </c>
      <c r="B634" s="85" t="str" cm="1">
        <f t="array" ref="B634">IFERROR(INDEX('03.Muestra'!$C$8:$C$42,SMALL(IF("Página Web"='03.Muestra'!$D$8:$D$42,ROW('03.Muestra'!$C$8:$C$42)-MIN(ROW('03.Muestra'!$D$8:$D$42))+1,""),ROW()-626)),"")</f>
        <v/>
      </c>
      <c r="C634" s="85" t="str" cm="1">
        <f t="array" ref="C634">IFERROR(INDEX('03.Muestra'!$F$8:$F$42,SMALL(IF("Página Web"='03.Muestra'!$D$8:$D$42,ROW('03.Muestra'!$F$8:$F$42)-MIN(ROW('03.Muestra'!$D$8:$D$42))+1,""),ROW()-626)),"")</f>
        <v/>
      </c>
      <c r="D634" s="99" t="str">
        <f t="shared" ref="D634:D661" si="33">IF(AND(B634&lt;&gt;"",C634&lt;&gt;""),"N/T","")</f>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https://www.bocm.es/</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Inicio/ultimo-bocm</v>
      </c>
      <c r="C666" s="85" t="str" cm="1">
        <f t="array" ref="C666">IFERROR(INDEX('03.Muestra'!$F$8:$F$42,SMALL(IF("Página Web"='03.Muestra'!$D$8:$D$42,ROW('03.Muestra'!$F$8:$F$42)-MIN(ROW('03.Muestra'!$D$8:$D$42))+1,""),ROW()-664)),"")</f>
        <v>https://www.bocm.es/ultimo-bocm</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7</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Inicio/autentificacion-verificacion</v>
      </c>
      <c r="C667" s="85" t="str" cm="1">
        <f t="array" ref="C667">IFERROR(INDEX('03.Muestra'!$F$8:$F$42,SMALL(IF("Página Web"='03.Muestra'!$D$8:$D$42,ROW('03.Muestra'!$F$8:$F$42)-MIN(ROW('03.Muestra'!$D$8:$D$42))+1,""),ROW()-664)),"")</f>
        <v>https://www.bocm.es/autentificacion-verificacion</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Inicio/que-es-bocm</v>
      </c>
      <c r="C668" s="85" t="str" cm="1">
        <f t="array" ref="C668">IFERROR(INDEX('03.Muestra'!$F$8:$F$42,SMALL(IF("Página Web"='03.Muestra'!$D$8:$D$42,ROW('03.Muestra'!$F$8:$F$42)-MIN(ROW('03.Muestra'!$D$8:$D$42))+1,""),ROW()-664)),"")</f>
        <v>https://www.bocm.es/que-es-bocm</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Inicio/organismo-autonomo</v>
      </c>
      <c r="C669" s="85" t="str" cm="1">
        <f t="array" ref="C669">IFERROR(INDEX('03.Muestra'!$F$8:$F$42,SMALL(IF("Página Web"='03.Muestra'!$D$8:$D$42,ROW('03.Muestra'!$F$8:$F$42)-MIN(ROW('03.Muestra'!$D$8:$D$42))+1,""),ROW()-664)),"")</f>
        <v>https://www.bocm.es/organismo-autonomo</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Inicio/s/publicar-anuncio</v>
      </c>
      <c r="C670" s="85" t="str" cm="1">
        <f t="array" ref="C670">IFERROR(INDEX('03.Muestra'!$F$8:$F$42,SMALL(IF("Página Web"='03.Muestra'!$D$8:$D$42,ROW('03.Muestra'!$F$8:$F$42)-MIN(ROW('03.Muestra'!$D$8:$D$42))+1,""),ROW()-664)),"")</f>
        <v>https://www.bocm.es/publicar-anuncio</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Inicio/declaracion-de-accesibilidad</v>
      </c>
      <c r="C671" s="85" t="str" cm="1">
        <f t="array" ref="C671">IFERROR(INDEX('03.Muestra'!$F$8:$F$42,SMALL(IF("Página Web"='03.Muestra'!$D$8:$D$42,ROW('03.Muestra'!$F$8:$F$42)-MIN(ROW('03.Muestra'!$D$8:$D$42))+1,""),ROW()-664)),"")</f>
        <v>https://www.bocm.es/declaracion-de-accesibilidad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t="str" cm="1">
        <f t="array" ref="A672">IFERROR(INDEX('03.Muestra'!$B$8:$B$42,SMALL(IF("Página Web"='03.Muestra'!$D$8:$D$42,ROW('03.Muestra'!$B$8:$B$42)-MIN(ROW('03.Muestra'!$D$8:$D$42))+1,""),ROW()-664)),"")</f>
        <v/>
      </c>
      <c r="B672" s="85" t="str" cm="1">
        <f t="array" ref="B672">IFERROR(INDEX('03.Muestra'!$C$8:$C$42,SMALL(IF("Página Web"='03.Muestra'!$D$8:$D$42,ROW('03.Muestra'!$C$8:$C$42)-MIN(ROW('03.Muestra'!$D$8:$D$42))+1,""),ROW()-664)),"")</f>
        <v/>
      </c>
      <c r="C672" s="85" t="str" cm="1">
        <f t="array" ref="C672">IFERROR(INDEX('03.Muestra'!$F$8:$F$42,SMALL(IF("Página Web"='03.Muestra'!$D$8:$D$42,ROW('03.Muestra'!$F$8:$F$42)-MIN(ROW('03.Muestra'!$D$8:$D$42))+1,""),ROW()-664)),"")</f>
        <v/>
      </c>
      <c r="D672" s="99" t="str">
        <f t="shared" ref="D672:D699" si="35">IF(AND(B672&lt;&gt;"",C672&lt;&gt;""),"N/T","")</f>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https://www.bocm.es/</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Inicio/ultimo-bocm</v>
      </c>
      <c r="C704" s="85" t="str" cm="1">
        <f t="array" ref="C704">IFERROR(INDEX('03.Muestra'!$F$8:$F$42,SMALL(IF("Página Web"='03.Muestra'!$D$8:$D$42,ROW('03.Muestra'!$F$8:$F$42)-MIN(ROW('03.Muestra'!$D$8:$D$42))+1,""),ROW()-702)),"")</f>
        <v>https://www.bocm.es/ultimo-bocm</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7</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Inicio/autentificacion-verificacion</v>
      </c>
      <c r="C705" s="85" t="str" cm="1">
        <f t="array" ref="C705">IFERROR(INDEX('03.Muestra'!$F$8:$F$42,SMALL(IF("Página Web"='03.Muestra'!$D$8:$D$42,ROW('03.Muestra'!$F$8:$F$42)-MIN(ROW('03.Muestra'!$D$8:$D$42))+1,""),ROW()-702)),"")</f>
        <v>https://www.bocm.es/autentificacion-verificacion</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Inicio/que-es-bocm</v>
      </c>
      <c r="C706" s="85" t="str" cm="1">
        <f t="array" ref="C706">IFERROR(INDEX('03.Muestra'!$F$8:$F$42,SMALL(IF("Página Web"='03.Muestra'!$D$8:$D$42,ROW('03.Muestra'!$F$8:$F$42)-MIN(ROW('03.Muestra'!$D$8:$D$42))+1,""),ROW()-702)),"")</f>
        <v>https://www.bocm.es/que-es-bocm</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Inicio/organismo-autonomo</v>
      </c>
      <c r="C707" s="85" t="str" cm="1">
        <f t="array" ref="C707">IFERROR(INDEX('03.Muestra'!$F$8:$F$42,SMALL(IF("Página Web"='03.Muestra'!$D$8:$D$42,ROW('03.Muestra'!$F$8:$F$42)-MIN(ROW('03.Muestra'!$D$8:$D$42))+1,""),ROW()-702)),"")</f>
        <v>https://www.bocm.es/organismo-autonomo</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Inicio/s/publicar-anuncio</v>
      </c>
      <c r="C708" s="85" t="str" cm="1">
        <f t="array" ref="C708">IFERROR(INDEX('03.Muestra'!$F$8:$F$42,SMALL(IF("Página Web"='03.Muestra'!$D$8:$D$42,ROW('03.Muestra'!$F$8:$F$42)-MIN(ROW('03.Muestra'!$D$8:$D$42))+1,""),ROW()-702)),"")</f>
        <v>https://www.bocm.es/publicar-anuncio</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Inicio/declaracion-de-accesibilidad</v>
      </c>
      <c r="C709" s="85" t="str" cm="1">
        <f t="array" ref="C709">IFERROR(INDEX('03.Muestra'!$F$8:$F$42,SMALL(IF("Página Web"='03.Muestra'!$D$8:$D$42,ROW('03.Muestra'!$F$8:$F$42)-MIN(ROW('03.Muestra'!$D$8:$D$42))+1,""),ROW()-702)),"")</f>
        <v>https://www.bocm.es/declaracion-de-accesibilidad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t="str" cm="1">
        <f t="array" ref="A710">IFERROR(INDEX('03.Muestra'!$B$8:$B$42,SMALL(IF("Página Web"='03.Muestra'!$D$8:$D$42,ROW('03.Muestra'!$B$8:$B$42)-MIN(ROW('03.Muestra'!$D$8:$D$42))+1,""),ROW()-702)),"")</f>
        <v/>
      </c>
      <c r="B710" s="85" t="str" cm="1">
        <f t="array" ref="B710">IFERROR(INDEX('03.Muestra'!$C$8:$C$42,SMALL(IF("Página Web"='03.Muestra'!$D$8:$D$42,ROW('03.Muestra'!$C$8:$C$42)-MIN(ROW('03.Muestra'!$D$8:$D$42))+1,""),ROW()-702)),"")</f>
        <v/>
      </c>
      <c r="C710" s="85" t="str" cm="1">
        <f t="array" ref="C710">IFERROR(INDEX('03.Muestra'!$F$8:$F$42,SMALL(IF("Página Web"='03.Muestra'!$D$8:$D$42,ROW('03.Muestra'!$F$8:$F$42)-MIN(ROW('03.Muestra'!$D$8:$D$42))+1,""),ROW()-702)),"")</f>
        <v/>
      </c>
      <c r="D710" s="99" t="str">
        <f t="shared" ref="D710:D737" si="37">IF(AND(B710&lt;&gt;"",C710&lt;&gt;""),"N/T","")</f>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https://www.bocm.es/</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Inicio/ultimo-bocm</v>
      </c>
      <c r="C742" s="85" t="str" cm="1">
        <f t="array" ref="C742">IFERROR(INDEX('03.Muestra'!$F$8:$F$42,SMALL(IF("Página Web"='03.Muestra'!$D$8:$D$42,ROW('03.Muestra'!$F$8:$F$42)-MIN(ROW('03.Muestra'!$D$8:$D$42))+1,""),ROW()-740)),"")</f>
        <v>https://www.bocm.es/ultimo-bocm</v>
      </c>
      <c r="D742" s="211"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7</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Inicio/autentificacion-verificacion</v>
      </c>
      <c r="C743" s="85" t="str" cm="1">
        <f t="array" ref="C743">IFERROR(INDEX('03.Muestra'!$F$8:$F$42,SMALL(IF("Página Web"='03.Muestra'!$D$8:$D$42,ROW('03.Muestra'!$F$8:$F$42)-MIN(ROW('03.Muestra'!$D$8:$D$42))+1,""),ROW()-740)),"")</f>
        <v>https://www.bocm.es/autentificacion-verificacion</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Inicio/que-es-bocm</v>
      </c>
      <c r="C744" s="85" t="str" cm="1">
        <f t="array" ref="C744">IFERROR(INDEX('03.Muestra'!$F$8:$F$42,SMALL(IF("Página Web"='03.Muestra'!$D$8:$D$42,ROW('03.Muestra'!$F$8:$F$42)-MIN(ROW('03.Muestra'!$D$8:$D$42))+1,""),ROW()-740)),"")</f>
        <v>https://www.bocm.es/que-es-bocm</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Inicio/organismo-autonomo</v>
      </c>
      <c r="C745" s="85" t="str" cm="1">
        <f t="array" ref="C745">IFERROR(INDEX('03.Muestra'!$F$8:$F$42,SMALL(IF("Página Web"='03.Muestra'!$D$8:$D$42,ROW('03.Muestra'!$F$8:$F$42)-MIN(ROW('03.Muestra'!$D$8:$D$42))+1,""),ROW()-740)),"")</f>
        <v>https://www.bocm.es/organismo-autonomo</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Inicio/s/publicar-anuncio</v>
      </c>
      <c r="C746" s="85" t="str" cm="1">
        <f t="array" ref="C746">IFERROR(INDEX('03.Muestra'!$F$8:$F$42,SMALL(IF("Página Web"='03.Muestra'!$D$8:$D$42,ROW('03.Muestra'!$F$8:$F$42)-MIN(ROW('03.Muestra'!$D$8:$D$42))+1,""),ROW()-740)),"")</f>
        <v>https://www.bocm.es/publicar-anuncio</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Inicio/declaracion-de-accesibilidad</v>
      </c>
      <c r="C747" s="85" t="str" cm="1">
        <f t="array" ref="C747">IFERROR(INDEX('03.Muestra'!$F$8:$F$42,SMALL(IF("Página Web"='03.Muestra'!$D$8:$D$42,ROW('03.Muestra'!$F$8:$F$42)-MIN(ROW('03.Muestra'!$D$8:$D$42))+1,""),ROW()-740)),"")</f>
        <v>https://www.bocm.es/declaracion-de-accesibilidad</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IFERROR(INDEX('03.Muestra'!$B$8:$B$42,SMALL(IF("Página Web"='03.Muestra'!$D$8:$D$42,ROW('03.Muestra'!$B$8:$B$42)-MIN(ROW('03.Muestra'!$D$8:$D$42))+1,""),ROW()-740)),"")</f>
        <v/>
      </c>
      <c r="B748" s="85" t="str" cm="1">
        <f t="array" ref="B748">IFERROR(INDEX('03.Muestra'!$C$8:$C$42,SMALL(IF("Página Web"='03.Muestra'!$D$8:$D$42,ROW('03.Muestra'!$C$8:$C$42)-MIN(ROW('03.Muestra'!$D$8:$D$42))+1,""),ROW()-740)),"")</f>
        <v/>
      </c>
      <c r="C748" s="85" t="str" cm="1">
        <f t="array" ref="C748">IFERROR(INDEX('03.Muestra'!$F$8:$F$42,SMALL(IF("Página Web"='03.Muestra'!$D$8:$D$42,ROW('03.Muestra'!$F$8:$F$42)-MIN(ROW('03.Muestra'!$D$8:$D$42))+1,""),ROW()-740)),"")</f>
        <v/>
      </c>
      <c r="D748" s="99" t="str">
        <f t="shared" ref="D748:D775" si="39">IF(AND(B748&lt;&gt;"",C748&lt;&gt;""),"N/T","")</f>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IFERROR(INDEX('03.Muestra'!$B$8:$B$42,SMALL(IF("Página Web"='03.Muestra'!$D$8:$D$42,ROW('03.Muestra'!$B$8:$B$42)-MIN(ROW('03.Muestra'!$D$8:$D$42))+1,""),ROW()-740)),"")</f>
        <v/>
      </c>
      <c r="B749" s="85" t="str" cm="1">
        <f t="array" ref="B749">IFERROR(INDEX('03.Muestra'!$C$8:$C$42,SMALL(IF("Página Web"='03.Muestra'!$D$8:$D$42,ROW('03.Muestra'!$C$8:$C$42)-MIN(ROW('03.Muestra'!$D$8:$D$42))+1,""),ROW()-740)),"")</f>
        <v/>
      </c>
      <c r="C749" s="85" t="str" cm="1">
        <f t="array" ref="C749">IFERROR(INDEX('03.Muestra'!$F$8:$F$42,SMALL(IF("Página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IFERROR(INDEX('03.Muestra'!$B$8:$B$42,SMALL(IF("Página Web"='03.Muestra'!$D$8:$D$42,ROW('03.Muestra'!$B$8:$B$42)-MIN(ROW('03.Muestra'!$D$8:$D$42))+1,""),ROW()-740)),"")</f>
        <v/>
      </c>
      <c r="B750" s="85" t="str" cm="1">
        <f t="array" ref="B750">IFERROR(INDEX('03.Muestra'!$C$8:$C$42,SMALL(IF("Página Web"='03.Muestra'!$D$8:$D$42,ROW('03.Muestra'!$C$8:$C$42)-MIN(ROW('03.Muestra'!$D$8:$D$42))+1,""),ROW()-740)),"")</f>
        <v/>
      </c>
      <c r="C750" s="85" t="str" cm="1">
        <f t="array" ref="C750">IFERROR(INDEX('03.Muestra'!$F$8:$F$42,SMALL(IF("Página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https://www.bocm.es/</v>
      </c>
      <c r="D779" s="99" t="s">
        <v>94</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Inicio/ultimo-bocm</v>
      </c>
      <c r="C780" s="85" t="str" cm="1">
        <f t="array" ref="C780">IFERROR(INDEX('03.Muestra'!$F$8:$F$42,SMALL(IF("Página Web"='03.Muestra'!$D$8:$D$42,ROW('03.Muestra'!$F$8:$F$42)-MIN(ROW('03.Muestra'!$D$8:$D$42))+1,""),ROW()-778)),"")</f>
        <v>https://www.bocm.es/ultimo-bocm</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7</v>
      </c>
      <c r="J780" s="91">
        <f ca="1">COUNTIF($D779:INDIRECT("$D" &amp;  SUM(ROW()-1,'03.Muestra'!$D$45)-1),J779)</f>
        <v>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Inicio/autentificacion-verificacion</v>
      </c>
      <c r="C781" s="85" t="str" cm="1">
        <f t="array" ref="C781">IFERROR(INDEX('03.Muestra'!$F$8:$F$42,SMALL(IF("Página Web"='03.Muestra'!$D$8:$D$42,ROW('03.Muestra'!$F$8:$F$42)-MIN(ROW('03.Muestra'!$D$8:$D$42))+1,""),ROW()-778)),"")</f>
        <v>https://www.bocm.es/autentificacion-verificacion</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Inicio/que-es-bocm</v>
      </c>
      <c r="C782" s="85" t="str" cm="1">
        <f t="array" ref="C782">IFERROR(INDEX('03.Muestra'!$F$8:$F$42,SMALL(IF("Página Web"='03.Muestra'!$D$8:$D$42,ROW('03.Muestra'!$F$8:$F$42)-MIN(ROW('03.Muestra'!$D$8:$D$42))+1,""),ROW()-778)),"")</f>
        <v>https://www.bocm.es/que-es-bocm</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Inicio/organismo-autonomo</v>
      </c>
      <c r="C783" s="85" t="str" cm="1">
        <f t="array" ref="C783">IFERROR(INDEX('03.Muestra'!$F$8:$F$42,SMALL(IF("Página Web"='03.Muestra'!$D$8:$D$42,ROW('03.Muestra'!$F$8:$F$42)-MIN(ROW('03.Muestra'!$D$8:$D$42))+1,""),ROW()-778)),"")</f>
        <v>https://www.bocm.es/organismo-autonomo</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Inicio/s/publicar-anuncio</v>
      </c>
      <c r="C784" s="85" t="str" cm="1">
        <f t="array" ref="C784">IFERROR(INDEX('03.Muestra'!$F$8:$F$42,SMALL(IF("Página Web"='03.Muestra'!$D$8:$D$42,ROW('03.Muestra'!$F$8:$F$42)-MIN(ROW('03.Muestra'!$D$8:$D$42))+1,""),ROW()-778)),"")</f>
        <v>https://www.bocm.es/publicar-anuncio</v>
      </c>
      <c r="D784" s="99" t="s">
        <v>94</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Inicio/declaracion-de-accesibilidad</v>
      </c>
      <c r="C785" s="85" t="str" cm="1">
        <f t="array" ref="C785">IFERROR(INDEX('03.Muestra'!$F$8:$F$42,SMALL(IF("Página Web"='03.Muestra'!$D$8:$D$42,ROW('03.Muestra'!$F$8:$F$42)-MIN(ROW('03.Muestra'!$D$8:$D$42))+1,""),ROW()-778)),"")</f>
        <v>https://www.bocm.es/declaracion-de-accesibilidad</v>
      </c>
      <c r="D785" s="99" t="s">
        <v>94</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t="str" cm="1">
        <f t="array" ref="A786">IFERROR(INDEX('03.Muestra'!$B$8:$B$42,SMALL(IF("Página Web"='03.Muestra'!$D$8:$D$42,ROW('03.Muestra'!$B$8:$B$42)-MIN(ROW('03.Muestra'!$D$8:$D$42))+1,""),ROW()-778)),"")</f>
        <v/>
      </c>
      <c r="B786" s="85" t="str" cm="1">
        <f t="array" ref="B786">IFERROR(INDEX('03.Muestra'!$C$8:$C$42,SMALL(IF("Página Web"='03.Muestra'!$D$8:$D$42,ROW('03.Muestra'!$C$8:$C$42)-MIN(ROW('03.Muestra'!$D$8:$D$42))+1,""),ROW()-778)),"")</f>
        <v/>
      </c>
      <c r="C786" s="85" t="str" cm="1">
        <f t="array" ref="C786">IFERROR(INDEX('03.Muestra'!$F$8:$F$42,SMALL(IF("Página Web"='03.Muestra'!$D$8:$D$42,ROW('03.Muestra'!$F$8:$F$42)-MIN(ROW('03.Muestra'!$D$8:$D$42))+1,""),ROW()-778)),"")</f>
        <v/>
      </c>
      <c r="D786" s="99" t="str">
        <f t="shared" ref="D786:D813" si="41">IF(AND(B786&lt;&gt;"",C786&lt;&gt;""),"N/T","")</f>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t="str" cm="1">
        <f t="array" ref="A787">IFERROR(INDEX('03.Muestra'!$B$8:$B$42,SMALL(IF("Página Web"='03.Muestra'!$D$8:$D$42,ROW('03.Muestra'!$B$8:$B$42)-MIN(ROW('03.Muestra'!$D$8:$D$42))+1,""),ROW()-778)),"")</f>
        <v/>
      </c>
      <c r="B787" s="85" t="str" cm="1">
        <f t="array" ref="B787">IFERROR(INDEX('03.Muestra'!$C$8:$C$42,SMALL(IF("Página Web"='03.Muestra'!$D$8:$D$42,ROW('03.Muestra'!$C$8:$C$42)-MIN(ROW('03.Muestra'!$D$8:$D$42))+1,""),ROW()-778)),"")</f>
        <v/>
      </c>
      <c r="C787" s="85" t="str" cm="1">
        <f t="array" ref="C787">IFERROR(INDEX('03.Muestra'!$F$8:$F$42,SMALL(IF("Página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t="str" cm="1">
        <f t="array" ref="A788">IFERROR(INDEX('03.Muestra'!$B$8:$B$42,SMALL(IF("Página Web"='03.Muestra'!$D$8:$D$42,ROW('03.Muestra'!$B$8:$B$42)-MIN(ROW('03.Muestra'!$D$8:$D$42))+1,""),ROW()-778)),"")</f>
        <v/>
      </c>
      <c r="B788" s="85" t="str" cm="1">
        <f t="array" ref="B788">IFERROR(INDEX('03.Muestra'!$C$8:$C$42,SMALL(IF("Página Web"='03.Muestra'!$D$8:$D$42,ROW('03.Muestra'!$C$8:$C$42)-MIN(ROW('03.Muestra'!$D$8:$D$42))+1,""),ROW()-778)),"")</f>
        <v/>
      </c>
      <c r="C788" s="85" t="str" cm="1">
        <f t="array" ref="C788">IFERROR(INDEX('03.Muestra'!$F$8:$F$42,SMALL(IF("Página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https://www.bocm.es/</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Inicio/ultimo-bocm</v>
      </c>
      <c r="C818" s="85" t="str" cm="1">
        <f t="array" ref="C818">IFERROR(INDEX('03.Muestra'!$F$8:$F$42,SMALL(IF("Página Web"='03.Muestra'!$D$8:$D$42,ROW('03.Muestra'!$F$8:$F$42)-MIN(ROW('03.Muestra'!$D$8:$D$42))+1,""),ROW()-816)),"")</f>
        <v>https://www.bocm.es/ultimo-bocm</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7</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Inicio/autentificacion-verificacion</v>
      </c>
      <c r="C819" s="85" t="str" cm="1">
        <f t="array" ref="C819">IFERROR(INDEX('03.Muestra'!$F$8:$F$42,SMALL(IF("Página Web"='03.Muestra'!$D$8:$D$42,ROW('03.Muestra'!$F$8:$F$42)-MIN(ROW('03.Muestra'!$D$8:$D$42))+1,""),ROW()-816)),"")</f>
        <v>https://www.bocm.es/autentificacion-verificacion</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Inicio/que-es-bocm</v>
      </c>
      <c r="C820" s="85" t="str" cm="1">
        <f t="array" ref="C820">IFERROR(INDEX('03.Muestra'!$F$8:$F$42,SMALL(IF("Página Web"='03.Muestra'!$D$8:$D$42,ROW('03.Muestra'!$F$8:$F$42)-MIN(ROW('03.Muestra'!$D$8:$D$42))+1,""),ROW()-816)),"")</f>
        <v>https://www.bocm.es/que-es-bocm</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Inicio/organismo-autonomo</v>
      </c>
      <c r="C821" s="85" t="str" cm="1">
        <f t="array" ref="C821">IFERROR(INDEX('03.Muestra'!$F$8:$F$42,SMALL(IF("Página Web"='03.Muestra'!$D$8:$D$42,ROW('03.Muestra'!$F$8:$F$42)-MIN(ROW('03.Muestra'!$D$8:$D$42))+1,""),ROW()-816)),"")</f>
        <v>https://www.bocm.es/organismo-autonomo</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Inicio/s/publicar-anuncio</v>
      </c>
      <c r="C822" s="85" t="str" cm="1">
        <f t="array" ref="C822">IFERROR(INDEX('03.Muestra'!$F$8:$F$42,SMALL(IF("Página Web"='03.Muestra'!$D$8:$D$42,ROW('03.Muestra'!$F$8:$F$42)-MIN(ROW('03.Muestra'!$D$8:$D$42))+1,""),ROW()-816)),"")</f>
        <v>https://www.bocm.es/publicar-anuncio</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Inicio/declaracion-de-accesibilidad</v>
      </c>
      <c r="C823" s="85" t="str" cm="1">
        <f t="array" ref="C823">IFERROR(INDEX('03.Muestra'!$F$8:$F$42,SMALL(IF("Página Web"='03.Muestra'!$D$8:$D$42,ROW('03.Muestra'!$F$8:$F$42)-MIN(ROW('03.Muestra'!$D$8:$D$42))+1,""),ROW()-816)),"")</f>
        <v>https://www.bocm.es/declaracion-de-accesibilidad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t="str" cm="1">
        <f t="array" ref="A824">IFERROR(INDEX('03.Muestra'!$B$8:$B$42,SMALL(IF("Página Web"='03.Muestra'!$D$8:$D$42,ROW('03.Muestra'!$B$8:$B$42)-MIN(ROW('03.Muestra'!$D$8:$D$42))+1,""),ROW()-816)),"")</f>
        <v/>
      </c>
      <c r="B824" s="85" t="str" cm="1">
        <f t="array" ref="B824">IFERROR(INDEX('03.Muestra'!$C$8:$C$42,SMALL(IF("Página Web"='03.Muestra'!$D$8:$D$42,ROW('03.Muestra'!$C$8:$C$42)-MIN(ROW('03.Muestra'!$D$8:$D$42))+1,""),ROW()-816)),"")</f>
        <v/>
      </c>
      <c r="C824" s="85" t="str" cm="1">
        <f t="array" ref="C824">IFERROR(INDEX('03.Muestra'!$F$8:$F$42,SMALL(IF("Página Web"='03.Muestra'!$D$8:$D$42,ROW('03.Muestra'!$F$8:$F$42)-MIN(ROW('03.Muestra'!$D$8:$D$42))+1,""),ROW()-816)),"")</f>
        <v/>
      </c>
      <c r="D824" s="99" t="str">
        <f t="shared" ref="D824:D851" si="43">IF(AND(B824&lt;&gt;"",C824&lt;&gt;""),"N/T","")</f>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t="str" cm="1">
        <f t="array" ref="A825">IFERROR(INDEX('03.Muestra'!$B$8:$B$42,SMALL(IF("Página Web"='03.Muestra'!$D$8:$D$42,ROW('03.Muestra'!$B$8:$B$42)-MIN(ROW('03.Muestra'!$D$8:$D$42))+1,""),ROW()-816)),"")</f>
        <v/>
      </c>
      <c r="B825" s="85" t="str" cm="1">
        <f t="array" ref="B825">IFERROR(INDEX('03.Muestra'!$C$8:$C$42,SMALL(IF("Página Web"='03.Muestra'!$D$8:$D$42,ROW('03.Muestra'!$C$8:$C$42)-MIN(ROW('03.Muestra'!$D$8:$D$42))+1,""),ROW()-816)),"")</f>
        <v/>
      </c>
      <c r="C825" s="85" t="str" cm="1">
        <f t="array" ref="C825">IFERROR(INDEX('03.Muestra'!$F$8:$F$42,SMALL(IF("Página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t="str" cm="1">
        <f t="array" ref="A826">IFERROR(INDEX('03.Muestra'!$B$8:$B$42,SMALL(IF("Página Web"='03.Muestra'!$D$8:$D$42,ROW('03.Muestra'!$B$8:$B$42)-MIN(ROW('03.Muestra'!$D$8:$D$42))+1,""),ROW()-816)),"")</f>
        <v/>
      </c>
      <c r="B826" s="85" t="str" cm="1">
        <f t="array" ref="B826">IFERROR(INDEX('03.Muestra'!$C$8:$C$42,SMALL(IF("Página Web"='03.Muestra'!$D$8:$D$42,ROW('03.Muestra'!$C$8:$C$42)-MIN(ROW('03.Muestra'!$D$8:$D$42))+1,""),ROW()-816)),"")</f>
        <v/>
      </c>
      <c r="C826" s="85" t="str" cm="1">
        <f t="array" ref="C826">IFERROR(INDEX('03.Muestra'!$F$8:$F$42,SMALL(IF("Página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https://www.bocm.es/</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Inicio/ultimo-bocm</v>
      </c>
      <c r="C856" s="85" t="str" cm="1">
        <f t="array" ref="C856">IFERROR(INDEX('03.Muestra'!$F$8:$F$42,SMALL(IF("Página Web"='03.Muestra'!$D$8:$D$42,ROW('03.Muestra'!$F$8:$F$42)-MIN(ROW('03.Muestra'!$D$8:$D$42))+1,""),ROW()-854)),"")</f>
        <v>https://www.bocm.es/ultimo-bocm</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7</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Inicio/autentificacion-verificacion</v>
      </c>
      <c r="C857" s="85" t="str" cm="1">
        <f t="array" ref="C857">IFERROR(INDEX('03.Muestra'!$F$8:$F$42,SMALL(IF("Página Web"='03.Muestra'!$D$8:$D$42,ROW('03.Muestra'!$F$8:$F$42)-MIN(ROW('03.Muestra'!$D$8:$D$42))+1,""),ROW()-854)),"")</f>
        <v>https://www.bocm.es/autentificacion-verificacion</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Inicio/que-es-bocm</v>
      </c>
      <c r="C858" s="85" t="str" cm="1">
        <f t="array" ref="C858">IFERROR(INDEX('03.Muestra'!$F$8:$F$42,SMALL(IF("Página Web"='03.Muestra'!$D$8:$D$42,ROW('03.Muestra'!$F$8:$F$42)-MIN(ROW('03.Muestra'!$D$8:$D$42))+1,""),ROW()-854)),"")</f>
        <v>https://www.bocm.es/que-es-bocm</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Inicio/organismo-autonomo</v>
      </c>
      <c r="C859" s="85" t="str" cm="1">
        <f t="array" ref="C859">IFERROR(INDEX('03.Muestra'!$F$8:$F$42,SMALL(IF("Página Web"='03.Muestra'!$D$8:$D$42,ROW('03.Muestra'!$F$8:$F$42)-MIN(ROW('03.Muestra'!$D$8:$D$42))+1,""),ROW()-854)),"")</f>
        <v>https://www.bocm.es/organismo-autonomo</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Inicio/s/publicar-anuncio</v>
      </c>
      <c r="C860" s="85" t="str" cm="1">
        <f t="array" ref="C860">IFERROR(INDEX('03.Muestra'!$F$8:$F$42,SMALL(IF("Página Web"='03.Muestra'!$D$8:$D$42,ROW('03.Muestra'!$F$8:$F$42)-MIN(ROW('03.Muestra'!$D$8:$D$42))+1,""),ROW()-854)),"")</f>
        <v>https://www.bocm.es/publicar-anuncio</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Inicio/declaracion-de-accesibilidad</v>
      </c>
      <c r="C861" s="85" t="str" cm="1">
        <f t="array" ref="C861">IFERROR(INDEX('03.Muestra'!$F$8:$F$42,SMALL(IF("Página Web"='03.Muestra'!$D$8:$D$42,ROW('03.Muestra'!$F$8:$F$42)-MIN(ROW('03.Muestra'!$D$8:$D$42))+1,""),ROW()-854)),"")</f>
        <v>https://www.bocm.es/declaracion-de-accesibilidad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t="str" cm="1">
        <f t="array" ref="A862">IFERROR(INDEX('03.Muestra'!$B$8:$B$42,SMALL(IF("Página Web"='03.Muestra'!$D$8:$D$42,ROW('03.Muestra'!$B$8:$B$42)-MIN(ROW('03.Muestra'!$D$8:$D$42))+1,""),ROW()-854)),"")</f>
        <v/>
      </c>
      <c r="B862" s="85" t="str" cm="1">
        <f t="array" ref="B862">IFERROR(INDEX('03.Muestra'!$C$8:$C$42,SMALL(IF("Página Web"='03.Muestra'!$D$8:$D$42,ROW('03.Muestra'!$C$8:$C$42)-MIN(ROW('03.Muestra'!$D$8:$D$42))+1,""),ROW()-854)),"")</f>
        <v/>
      </c>
      <c r="C862" s="85" t="str" cm="1">
        <f t="array" ref="C862">IFERROR(INDEX('03.Muestra'!$F$8:$F$42,SMALL(IF("Página Web"='03.Muestra'!$D$8:$D$42,ROW('03.Muestra'!$F$8:$F$42)-MIN(ROW('03.Muestra'!$D$8:$D$42))+1,""),ROW()-854)),"")</f>
        <v/>
      </c>
      <c r="D862" s="99" t="str">
        <f t="shared" ref="D862:D889" si="45">IF(AND(B862&lt;&gt;"",C862&lt;&gt;""),"N/T","")</f>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t="str" cm="1">
        <f t="array" ref="A863">IFERROR(INDEX('03.Muestra'!$B$8:$B$42,SMALL(IF("Página Web"='03.Muestra'!$D$8:$D$42,ROW('03.Muestra'!$B$8:$B$42)-MIN(ROW('03.Muestra'!$D$8:$D$42))+1,""),ROW()-854)),"")</f>
        <v/>
      </c>
      <c r="B863" s="85" t="str" cm="1">
        <f t="array" ref="B863">IFERROR(INDEX('03.Muestra'!$C$8:$C$42,SMALL(IF("Página Web"='03.Muestra'!$D$8:$D$42,ROW('03.Muestra'!$C$8:$C$42)-MIN(ROW('03.Muestra'!$D$8:$D$42))+1,""),ROW()-854)),"")</f>
        <v/>
      </c>
      <c r="C863" s="85" t="str" cm="1">
        <f t="array" ref="C863">IFERROR(INDEX('03.Muestra'!$F$8:$F$42,SMALL(IF("Página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t="str" cm="1">
        <f t="array" ref="A864">IFERROR(INDEX('03.Muestra'!$B$8:$B$42,SMALL(IF("Página Web"='03.Muestra'!$D$8:$D$42,ROW('03.Muestra'!$B$8:$B$42)-MIN(ROW('03.Muestra'!$D$8:$D$42))+1,""),ROW()-854)),"")</f>
        <v/>
      </c>
      <c r="B864" s="85" t="str" cm="1">
        <f t="array" ref="B864">IFERROR(INDEX('03.Muestra'!$C$8:$C$42,SMALL(IF("Página Web"='03.Muestra'!$D$8:$D$42,ROW('03.Muestra'!$C$8:$C$42)-MIN(ROW('03.Muestra'!$D$8:$D$42))+1,""),ROW()-854)),"")</f>
        <v/>
      </c>
      <c r="C864" s="85" t="str" cm="1">
        <f t="array" ref="C864">IFERROR(INDEX('03.Muestra'!$F$8:$F$42,SMALL(IF("Página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https://www.bocm.es/</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Inicio/ultimo-bocm</v>
      </c>
      <c r="C894" s="85" t="str" cm="1">
        <f t="array" ref="C894">IFERROR(INDEX('03.Muestra'!$F$8:$F$42,SMALL(IF("Página Web"='03.Muestra'!$D$8:$D$42,ROW('03.Muestra'!$F$8:$F$42)-MIN(ROW('03.Muestra'!$D$8:$D$42))+1,""),ROW()-892)),"")</f>
        <v>https://www.bocm.es/ultimo-bocm</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7</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Inicio/autentificacion-verificacion</v>
      </c>
      <c r="C895" s="85" t="str" cm="1">
        <f t="array" ref="C895">IFERROR(INDEX('03.Muestra'!$F$8:$F$42,SMALL(IF("Página Web"='03.Muestra'!$D$8:$D$42,ROW('03.Muestra'!$F$8:$F$42)-MIN(ROW('03.Muestra'!$D$8:$D$42))+1,""),ROW()-892)),"")</f>
        <v>https://www.bocm.es/autentificacion-verificacion</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Inicio/que-es-bocm</v>
      </c>
      <c r="C896" s="85" t="str" cm="1">
        <f t="array" ref="C896">IFERROR(INDEX('03.Muestra'!$F$8:$F$42,SMALL(IF("Página Web"='03.Muestra'!$D$8:$D$42,ROW('03.Muestra'!$F$8:$F$42)-MIN(ROW('03.Muestra'!$D$8:$D$42))+1,""),ROW()-892)),"")</f>
        <v>https://www.bocm.es/que-es-bocm</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Inicio/organismo-autonomo</v>
      </c>
      <c r="C897" s="85" t="str" cm="1">
        <f t="array" ref="C897">IFERROR(INDEX('03.Muestra'!$F$8:$F$42,SMALL(IF("Página Web"='03.Muestra'!$D$8:$D$42,ROW('03.Muestra'!$F$8:$F$42)-MIN(ROW('03.Muestra'!$D$8:$D$42))+1,""),ROW()-892)),"")</f>
        <v>https://www.bocm.es/organismo-autonomo</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Inicio/s/publicar-anuncio</v>
      </c>
      <c r="C898" s="85" t="str" cm="1">
        <f t="array" ref="C898">IFERROR(INDEX('03.Muestra'!$F$8:$F$42,SMALL(IF("Página Web"='03.Muestra'!$D$8:$D$42,ROW('03.Muestra'!$F$8:$F$42)-MIN(ROW('03.Muestra'!$D$8:$D$42))+1,""),ROW()-892)),"")</f>
        <v>https://www.bocm.es/publicar-anuncio</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Inicio/declaracion-de-accesibilidad</v>
      </c>
      <c r="C899" s="85" t="str" cm="1">
        <f t="array" ref="C899">IFERROR(INDEX('03.Muestra'!$F$8:$F$42,SMALL(IF("Página Web"='03.Muestra'!$D$8:$D$42,ROW('03.Muestra'!$F$8:$F$42)-MIN(ROW('03.Muestra'!$D$8:$D$42))+1,""),ROW()-892)),"")</f>
        <v>https://www.bocm.es/declaracion-de-accesibilidad</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t="str" cm="1">
        <f t="array" ref="A900">IFERROR(INDEX('03.Muestra'!$B$8:$B$42,SMALL(IF("Página Web"='03.Muestra'!$D$8:$D$42,ROW('03.Muestra'!$B$8:$B$42)-MIN(ROW('03.Muestra'!$D$8:$D$42))+1,""),ROW()-892)),"")</f>
        <v/>
      </c>
      <c r="B900" s="85" t="str" cm="1">
        <f t="array" ref="B900">IFERROR(INDEX('03.Muestra'!$C$8:$C$42,SMALL(IF("Página Web"='03.Muestra'!$D$8:$D$42,ROW('03.Muestra'!$C$8:$C$42)-MIN(ROW('03.Muestra'!$D$8:$D$42))+1,""),ROW()-892)),"")</f>
        <v/>
      </c>
      <c r="C900" s="85" t="str" cm="1">
        <f t="array" ref="C900">IFERROR(INDEX('03.Muestra'!$F$8:$F$42,SMALL(IF("Página Web"='03.Muestra'!$D$8:$D$42,ROW('03.Muestra'!$F$8:$F$42)-MIN(ROW('03.Muestra'!$D$8:$D$42))+1,""),ROW()-892)),"")</f>
        <v/>
      </c>
      <c r="D900" s="99" t="str">
        <f t="shared" ref="D900:D927" si="47">IF(AND(B900&lt;&gt;"",C900&lt;&gt;""),"N/T","")</f>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t="str" cm="1">
        <f t="array" ref="A901">IFERROR(INDEX('03.Muestra'!$B$8:$B$42,SMALL(IF("Página Web"='03.Muestra'!$D$8:$D$42,ROW('03.Muestra'!$B$8:$B$42)-MIN(ROW('03.Muestra'!$D$8:$D$42))+1,""),ROW()-892)),"")</f>
        <v/>
      </c>
      <c r="B901" s="85" t="str" cm="1">
        <f t="array" ref="B901">IFERROR(INDEX('03.Muestra'!$C$8:$C$42,SMALL(IF("Página Web"='03.Muestra'!$D$8:$D$42,ROW('03.Muestra'!$C$8:$C$42)-MIN(ROW('03.Muestra'!$D$8:$D$42))+1,""),ROW()-892)),"")</f>
        <v/>
      </c>
      <c r="C901" s="85" t="str" cm="1">
        <f t="array" ref="C901">IFERROR(INDEX('03.Muestra'!$F$8:$F$42,SMALL(IF("Página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t="str" cm="1">
        <f t="array" ref="A902">IFERROR(INDEX('03.Muestra'!$B$8:$B$42,SMALL(IF("Página Web"='03.Muestra'!$D$8:$D$42,ROW('03.Muestra'!$B$8:$B$42)-MIN(ROW('03.Muestra'!$D$8:$D$42))+1,""),ROW()-892)),"")</f>
        <v/>
      </c>
      <c r="B902" s="85" t="str" cm="1">
        <f t="array" ref="B902">IFERROR(INDEX('03.Muestra'!$C$8:$C$42,SMALL(IF("Página Web"='03.Muestra'!$D$8:$D$42,ROW('03.Muestra'!$C$8:$C$42)-MIN(ROW('03.Muestra'!$D$8:$D$42))+1,""),ROW()-892)),"")</f>
        <v/>
      </c>
      <c r="C902" s="85" t="str" cm="1">
        <f t="array" ref="C902">IFERROR(INDEX('03.Muestra'!$F$8:$F$42,SMALL(IF("Página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https://www.bocm.es/</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Inicio/ultimo-bocm</v>
      </c>
      <c r="C932" s="85" t="str" cm="1">
        <f t="array" ref="C932">IFERROR(INDEX('03.Muestra'!$F$8:$F$42,SMALL(IF("Página Web"='03.Muestra'!$D$8:$D$42,ROW('03.Muestra'!$F$8:$F$42)-MIN(ROW('03.Muestra'!$D$8:$D$42))+1,""),ROW()-930)),"")</f>
        <v>https://www.bocm.es/ultimo-bocm</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7</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Inicio/autentificacion-verificacion</v>
      </c>
      <c r="C933" s="85" t="str" cm="1">
        <f t="array" ref="C933">IFERROR(INDEX('03.Muestra'!$F$8:$F$42,SMALL(IF("Página Web"='03.Muestra'!$D$8:$D$42,ROW('03.Muestra'!$F$8:$F$42)-MIN(ROW('03.Muestra'!$D$8:$D$42))+1,""),ROW()-930)),"")</f>
        <v>https://www.bocm.es/autentificacion-verificacion</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Inicio/que-es-bocm</v>
      </c>
      <c r="C934" s="85" t="str" cm="1">
        <f t="array" ref="C934">IFERROR(INDEX('03.Muestra'!$F$8:$F$42,SMALL(IF("Página Web"='03.Muestra'!$D$8:$D$42,ROW('03.Muestra'!$F$8:$F$42)-MIN(ROW('03.Muestra'!$D$8:$D$42))+1,""),ROW()-930)),"")</f>
        <v>https://www.bocm.es/que-es-bocm</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Inicio/organismo-autonomo</v>
      </c>
      <c r="C935" s="85" t="str" cm="1">
        <f t="array" ref="C935">IFERROR(INDEX('03.Muestra'!$F$8:$F$42,SMALL(IF("Página Web"='03.Muestra'!$D$8:$D$42,ROW('03.Muestra'!$F$8:$F$42)-MIN(ROW('03.Muestra'!$D$8:$D$42))+1,""),ROW()-930)),"")</f>
        <v>https://www.bocm.es/organismo-autonomo</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Inicio/s/publicar-anuncio</v>
      </c>
      <c r="C936" s="85" t="str" cm="1">
        <f t="array" ref="C936">IFERROR(INDEX('03.Muestra'!$F$8:$F$42,SMALL(IF("Página Web"='03.Muestra'!$D$8:$D$42,ROW('03.Muestra'!$F$8:$F$42)-MIN(ROW('03.Muestra'!$D$8:$D$42))+1,""),ROW()-930)),"")</f>
        <v>https://www.bocm.es/publicar-anuncio</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Inicio/declaracion-de-accesibilidad</v>
      </c>
      <c r="C937" s="85" t="str" cm="1">
        <f t="array" ref="C937">IFERROR(INDEX('03.Muestra'!$F$8:$F$42,SMALL(IF("Página Web"='03.Muestra'!$D$8:$D$42,ROW('03.Muestra'!$F$8:$F$42)-MIN(ROW('03.Muestra'!$D$8:$D$42))+1,""),ROW()-930)),"")</f>
        <v>https://www.bocm.es/declaracion-de-accesibilidad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t="str" cm="1">
        <f t="array" ref="A938">IFERROR(INDEX('03.Muestra'!$B$8:$B$42,SMALL(IF("Página Web"='03.Muestra'!$D$8:$D$42,ROW('03.Muestra'!$B$8:$B$42)-MIN(ROW('03.Muestra'!$D$8:$D$42))+1,""),ROW()-930)),"")</f>
        <v/>
      </c>
      <c r="B938" s="85" t="str" cm="1">
        <f t="array" ref="B938">IFERROR(INDEX('03.Muestra'!$C$8:$C$42,SMALL(IF("Página Web"='03.Muestra'!$D$8:$D$42,ROW('03.Muestra'!$C$8:$C$42)-MIN(ROW('03.Muestra'!$D$8:$D$42))+1,""),ROW()-930)),"")</f>
        <v/>
      </c>
      <c r="C938" s="85" t="str" cm="1">
        <f t="array" ref="C938">IFERROR(INDEX('03.Muestra'!$F$8:$F$42,SMALL(IF("Página Web"='03.Muestra'!$D$8:$D$42,ROW('03.Muestra'!$F$8:$F$42)-MIN(ROW('03.Muestra'!$D$8:$D$42))+1,""),ROW()-930)),"")</f>
        <v/>
      </c>
      <c r="D938" s="99" t="str">
        <f t="shared" ref="D938:D965" si="49">IF(AND(B938&lt;&gt;"",C938&lt;&gt;""),"N/T","")</f>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t="str" cm="1">
        <f t="array" ref="A939">IFERROR(INDEX('03.Muestra'!$B$8:$B$42,SMALL(IF("Página Web"='03.Muestra'!$D$8:$D$42,ROW('03.Muestra'!$B$8:$B$42)-MIN(ROW('03.Muestra'!$D$8:$D$42))+1,""),ROW()-930)),"")</f>
        <v/>
      </c>
      <c r="B939" s="85" t="str" cm="1">
        <f t="array" ref="B939">IFERROR(INDEX('03.Muestra'!$C$8:$C$42,SMALL(IF("Página Web"='03.Muestra'!$D$8:$D$42,ROW('03.Muestra'!$C$8:$C$42)-MIN(ROW('03.Muestra'!$D$8:$D$42))+1,""),ROW()-930)),"")</f>
        <v/>
      </c>
      <c r="C939" s="85" t="str" cm="1">
        <f t="array" ref="C939">IFERROR(INDEX('03.Muestra'!$F$8:$F$42,SMALL(IF("Página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t="str" cm="1">
        <f t="array" ref="A940">IFERROR(INDEX('03.Muestra'!$B$8:$B$42,SMALL(IF("Página Web"='03.Muestra'!$D$8:$D$42,ROW('03.Muestra'!$B$8:$B$42)-MIN(ROW('03.Muestra'!$D$8:$D$42))+1,""),ROW()-930)),"")</f>
        <v/>
      </c>
      <c r="B940" s="85" t="str" cm="1">
        <f t="array" ref="B940">IFERROR(INDEX('03.Muestra'!$C$8:$C$42,SMALL(IF("Página Web"='03.Muestra'!$D$8:$D$42,ROW('03.Muestra'!$C$8:$C$42)-MIN(ROW('03.Muestra'!$D$8:$D$42))+1,""),ROW()-930)),"")</f>
        <v/>
      </c>
      <c r="C940" s="85" t="str" cm="1">
        <f t="array" ref="C940">IFERROR(INDEX('03.Muestra'!$F$8:$F$42,SMALL(IF("Página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https://www.bocm.es/</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Inicio/ultimo-bocm</v>
      </c>
      <c r="C970" s="85" t="str" cm="1">
        <f t="array" ref="C970">IFERROR(INDEX('03.Muestra'!$F$8:$F$42,SMALL(IF("Página Web"='03.Muestra'!$D$8:$D$42,ROW('03.Muestra'!$F$8:$F$42)-MIN(ROW('03.Muestra'!$D$8:$D$42))+1,""),ROW()-968)),"")</f>
        <v>https://www.bocm.es/ultimo-bocm</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7</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Inicio/autentificacion-verificacion</v>
      </c>
      <c r="C971" s="85" t="str" cm="1">
        <f t="array" ref="C971">IFERROR(INDEX('03.Muestra'!$F$8:$F$42,SMALL(IF("Página Web"='03.Muestra'!$D$8:$D$42,ROW('03.Muestra'!$F$8:$F$42)-MIN(ROW('03.Muestra'!$D$8:$D$42))+1,""),ROW()-968)),"")</f>
        <v>https://www.bocm.es/autentificacion-verificacion</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Inicio/que-es-bocm</v>
      </c>
      <c r="C972" s="85" t="str" cm="1">
        <f t="array" ref="C972">IFERROR(INDEX('03.Muestra'!$F$8:$F$42,SMALL(IF("Página Web"='03.Muestra'!$D$8:$D$42,ROW('03.Muestra'!$F$8:$F$42)-MIN(ROW('03.Muestra'!$D$8:$D$42))+1,""),ROW()-968)),"")</f>
        <v>https://www.bocm.es/que-es-bocm</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Inicio/organismo-autonomo</v>
      </c>
      <c r="C973" s="85" t="str" cm="1">
        <f t="array" ref="C973">IFERROR(INDEX('03.Muestra'!$F$8:$F$42,SMALL(IF("Página Web"='03.Muestra'!$D$8:$D$42,ROW('03.Muestra'!$F$8:$F$42)-MIN(ROW('03.Muestra'!$D$8:$D$42))+1,""),ROW()-968)),"")</f>
        <v>https://www.bocm.es/organismo-autonomo</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Inicio/s/publicar-anuncio</v>
      </c>
      <c r="C974" s="85" t="str" cm="1">
        <f t="array" ref="C974">IFERROR(INDEX('03.Muestra'!$F$8:$F$42,SMALL(IF("Página Web"='03.Muestra'!$D$8:$D$42,ROW('03.Muestra'!$F$8:$F$42)-MIN(ROW('03.Muestra'!$D$8:$D$42))+1,""),ROW()-968)),"")</f>
        <v>https://www.bocm.es/publicar-anuncio</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Inicio/declaracion-de-accesibilidad</v>
      </c>
      <c r="C975" s="85" t="str" cm="1">
        <f t="array" ref="C975">IFERROR(INDEX('03.Muestra'!$F$8:$F$42,SMALL(IF("Página Web"='03.Muestra'!$D$8:$D$42,ROW('03.Muestra'!$F$8:$F$42)-MIN(ROW('03.Muestra'!$D$8:$D$42))+1,""),ROW()-968)),"")</f>
        <v>https://www.bocm.es/declaracion-de-accesibilidad</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t="str" cm="1">
        <f t="array" ref="A976">IFERROR(INDEX('03.Muestra'!$B$8:$B$42,SMALL(IF("Página Web"='03.Muestra'!$D$8:$D$42,ROW('03.Muestra'!$B$8:$B$42)-MIN(ROW('03.Muestra'!$D$8:$D$42))+1,""),ROW()-968)),"")</f>
        <v/>
      </c>
      <c r="B976" s="85" t="str" cm="1">
        <f t="array" ref="B976">IFERROR(INDEX('03.Muestra'!$C$8:$C$42,SMALL(IF("Página Web"='03.Muestra'!$D$8:$D$42,ROW('03.Muestra'!$C$8:$C$42)-MIN(ROW('03.Muestra'!$D$8:$D$42))+1,""),ROW()-968)),"")</f>
        <v/>
      </c>
      <c r="C976" s="85" t="str" cm="1">
        <f t="array" ref="C976">IFERROR(INDEX('03.Muestra'!$F$8:$F$42,SMALL(IF("Página Web"='03.Muestra'!$D$8:$D$42,ROW('03.Muestra'!$F$8:$F$42)-MIN(ROW('03.Muestra'!$D$8:$D$42))+1,""),ROW()-968)),"")</f>
        <v/>
      </c>
      <c r="D976" s="99" t="str">
        <f t="shared" ref="D976:D1003" si="51">IF(AND(B976&lt;&gt;"",C976&lt;&gt;""),"N/T","")</f>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t="str" cm="1">
        <f t="array" ref="A977">IFERROR(INDEX('03.Muestra'!$B$8:$B$42,SMALL(IF("Página Web"='03.Muestra'!$D$8:$D$42,ROW('03.Muestra'!$B$8:$B$42)-MIN(ROW('03.Muestra'!$D$8:$D$42))+1,""),ROW()-968)),"")</f>
        <v/>
      </c>
      <c r="B977" s="85" t="str" cm="1">
        <f t="array" ref="B977">IFERROR(INDEX('03.Muestra'!$C$8:$C$42,SMALL(IF("Página Web"='03.Muestra'!$D$8:$D$42,ROW('03.Muestra'!$C$8:$C$42)-MIN(ROW('03.Muestra'!$D$8:$D$42))+1,""),ROW()-968)),"")</f>
        <v/>
      </c>
      <c r="C977" s="85" t="str" cm="1">
        <f t="array" ref="C977">IFERROR(INDEX('03.Muestra'!$F$8:$F$42,SMALL(IF("Página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t="str" cm="1">
        <f t="array" ref="A978">IFERROR(INDEX('03.Muestra'!$B$8:$B$42,SMALL(IF("Página Web"='03.Muestra'!$D$8:$D$42,ROW('03.Muestra'!$B$8:$B$42)-MIN(ROW('03.Muestra'!$D$8:$D$42))+1,""),ROW()-968)),"")</f>
        <v/>
      </c>
      <c r="B978" s="85" t="str" cm="1">
        <f t="array" ref="B978">IFERROR(INDEX('03.Muestra'!$C$8:$C$42,SMALL(IF("Página Web"='03.Muestra'!$D$8:$D$42,ROW('03.Muestra'!$C$8:$C$42)-MIN(ROW('03.Muestra'!$D$8:$D$42))+1,""),ROW()-968)),"")</f>
        <v/>
      </c>
      <c r="C978" s="85" t="str" cm="1">
        <f t="array" ref="C978">IFERROR(INDEX('03.Muestra'!$F$8:$F$42,SMALL(IF("Página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https://www.bocm.es/</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Inicio/ultimo-bocm</v>
      </c>
      <c r="C1008" s="85" t="str" cm="1">
        <f t="array" ref="C1008">IFERROR(INDEX('03.Muestra'!$F$8:$F$42,SMALL(IF("Página Web"='03.Muestra'!$D$8:$D$42,ROW('03.Muestra'!$F$8:$F$42)-MIN(ROW('03.Muestra'!$D$8:$D$42))+1,""),ROW()-1006)),"")</f>
        <v>https://www.bocm.es/ultimo-bocm</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7</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Inicio/autentificacion-verificacion</v>
      </c>
      <c r="C1009" s="85" t="str" cm="1">
        <f t="array" ref="C1009">IFERROR(INDEX('03.Muestra'!$F$8:$F$42,SMALL(IF("Página Web"='03.Muestra'!$D$8:$D$42,ROW('03.Muestra'!$F$8:$F$42)-MIN(ROW('03.Muestra'!$D$8:$D$42))+1,""),ROW()-1006)),"")</f>
        <v>https://www.bocm.es/autentificacion-verificacion</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Inicio/que-es-bocm</v>
      </c>
      <c r="C1010" s="85" t="str" cm="1">
        <f t="array" ref="C1010">IFERROR(INDEX('03.Muestra'!$F$8:$F$42,SMALL(IF("Página Web"='03.Muestra'!$D$8:$D$42,ROW('03.Muestra'!$F$8:$F$42)-MIN(ROW('03.Muestra'!$D$8:$D$42))+1,""),ROW()-1006)),"")</f>
        <v>https://www.bocm.es/que-es-bocm</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Inicio/organismo-autonomo</v>
      </c>
      <c r="C1011" s="85" t="str" cm="1">
        <f t="array" ref="C1011">IFERROR(INDEX('03.Muestra'!$F$8:$F$42,SMALL(IF("Página Web"='03.Muestra'!$D$8:$D$42,ROW('03.Muestra'!$F$8:$F$42)-MIN(ROW('03.Muestra'!$D$8:$D$42))+1,""),ROW()-1006)),"")</f>
        <v>https://www.bocm.es/organismo-autonomo</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Inicio/s/publicar-anuncio</v>
      </c>
      <c r="C1012" s="85" t="str" cm="1">
        <f t="array" ref="C1012">IFERROR(INDEX('03.Muestra'!$F$8:$F$42,SMALL(IF("Página Web"='03.Muestra'!$D$8:$D$42,ROW('03.Muestra'!$F$8:$F$42)-MIN(ROW('03.Muestra'!$D$8:$D$42))+1,""),ROW()-1006)),"")</f>
        <v>https://www.bocm.es/publicar-anuncio</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Inicio/declaracion-de-accesibilidad</v>
      </c>
      <c r="C1013" s="85" t="str" cm="1">
        <f t="array" ref="C1013">IFERROR(INDEX('03.Muestra'!$F$8:$F$42,SMALL(IF("Página Web"='03.Muestra'!$D$8:$D$42,ROW('03.Muestra'!$F$8:$F$42)-MIN(ROW('03.Muestra'!$D$8:$D$42))+1,""),ROW()-1006)),"")</f>
        <v>https://www.bocm.es/declaracion-de-accesibilidad</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t="str" cm="1">
        <f t="array" ref="A1014">IFERROR(INDEX('03.Muestra'!$B$8:$B$42,SMALL(IF("Página Web"='03.Muestra'!$D$8:$D$42,ROW('03.Muestra'!$B$8:$B$42)-MIN(ROW('03.Muestra'!$D$8:$D$42))+1,""),ROW()-1006)),"")</f>
        <v/>
      </c>
      <c r="B1014" s="85" t="str" cm="1">
        <f t="array" ref="B1014">IFERROR(INDEX('03.Muestra'!$C$8:$C$42,SMALL(IF("Página Web"='03.Muestra'!$D$8:$D$42,ROW('03.Muestra'!$C$8:$C$42)-MIN(ROW('03.Muestra'!$D$8:$D$42))+1,""),ROW()-1006)),"")</f>
        <v/>
      </c>
      <c r="C1014" s="85" t="str" cm="1">
        <f t="array" ref="C1014">IFERROR(INDEX('03.Muestra'!$F$8:$F$42,SMALL(IF("Página Web"='03.Muestra'!$D$8:$D$42,ROW('03.Muestra'!$F$8:$F$42)-MIN(ROW('03.Muestra'!$D$8:$D$42))+1,""),ROW()-1006)),"")</f>
        <v/>
      </c>
      <c r="D1014" s="99" t="str">
        <f t="shared" ref="D1014:D1041" si="53">IF(AND(B1014&lt;&gt;"",C1014&lt;&gt;""),"N/T","")</f>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t="str" cm="1">
        <f t="array" ref="A1015">IFERROR(INDEX('03.Muestra'!$B$8:$B$42,SMALL(IF("Página Web"='03.Muestra'!$D$8:$D$42,ROW('03.Muestra'!$B$8:$B$42)-MIN(ROW('03.Muestra'!$D$8:$D$42))+1,""),ROW()-1006)),"")</f>
        <v/>
      </c>
      <c r="B1015" s="85" t="str" cm="1">
        <f t="array" ref="B1015">IFERROR(INDEX('03.Muestra'!$C$8:$C$42,SMALL(IF("Página Web"='03.Muestra'!$D$8:$D$42,ROW('03.Muestra'!$C$8:$C$42)-MIN(ROW('03.Muestra'!$D$8:$D$42))+1,""),ROW()-1006)),"")</f>
        <v/>
      </c>
      <c r="C1015" s="85" t="str" cm="1">
        <f t="array" ref="C1015">IFERROR(INDEX('03.Muestra'!$F$8:$F$42,SMALL(IF("Página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t="str" cm="1">
        <f t="array" ref="A1016">IFERROR(INDEX('03.Muestra'!$B$8:$B$42,SMALL(IF("Página Web"='03.Muestra'!$D$8:$D$42,ROW('03.Muestra'!$B$8:$B$42)-MIN(ROW('03.Muestra'!$D$8:$D$42))+1,""),ROW()-1006)),"")</f>
        <v/>
      </c>
      <c r="B1016" s="85" t="str" cm="1">
        <f t="array" ref="B1016">IFERROR(INDEX('03.Muestra'!$C$8:$C$42,SMALL(IF("Página Web"='03.Muestra'!$D$8:$D$42,ROW('03.Muestra'!$C$8:$C$42)-MIN(ROW('03.Muestra'!$D$8:$D$42))+1,""),ROW()-1006)),"")</f>
        <v/>
      </c>
      <c r="C1016" s="85" t="str" cm="1">
        <f t="array" ref="C1016">IFERROR(INDEX('03.Muestra'!$F$8:$F$42,SMALL(IF("Página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https://www.bocm.es/</v>
      </c>
      <c r="D1045" s="99" t="s">
        <v>92</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Inicio/ultimo-bocm</v>
      </c>
      <c r="C1046" s="85" t="str" cm="1">
        <f t="array" ref="C1046">IFERROR(INDEX('03.Muestra'!$F$8:$F$42,SMALL(IF("Página Web"='03.Muestra'!$D$8:$D$42,ROW('03.Muestra'!$F$8:$F$42)-MIN(ROW('03.Muestra'!$D$8:$D$42))+1,""),ROW()-1044)),"")</f>
        <v>https://www.bocm.es/ultimo-bocm</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7</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Inicio/autentificacion-verificacion</v>
      </c>
      <c r="C1047" s="85" t="str" cm="1">
        <f t="array" ref="C1047">IFERROR(INDEX('03.Muestra'!$F$8:$F$42,SMALL(IF("Página Web"='03.Muestra'!$D$8:$D$42,ROW('03.Muestra'!$F$8:$F$42)-MIN(ROW('03.Muestra'!$D$8:$D$42))+1,""),ROW()-1044)),"")</f>
        <v>https://www.bocm.es/autentificacion-verificacion</v>
      </c>
      <c r="D1047" s="99" t="s">
        <v>92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Inicio/que-es-bocm</v>
      </c>
      <c r="C1048" s="85" t="str" cm="1">
        <f t="array" ref="C1048">IFERROR(INDEX('03.Muestra'!$F$8:$F$42,SMALL(IF("Página Web"='03.Muestra'!$D$8:$D$42,ROW('03.Muestra'!$F$8:$F$42)-MIN(ROW('03.Muestra'!$D$8:$D$42))+1,""),ROW()-1044)),"")</f>
        <v>https://www.bocm.es/que-es-bocm</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Inicio/organismo-autonomo</v>
      </c>
      <c r="C1049" s="85" t="str" cm="1">
        <f t="array" ref="C1049">IFERROR(INDEX('03.Muestra'!$F$8:$F$42,SMALL(IF("Página Web"='03.Muestra'!$D$8:$D$42,ROW('03.Muestra'!$F$8:$F$42)-MIN(ROW('03.Muestra'!$D$8:$D$42))+1,""),ROW()-1044)),"")</f>
        <v>https://www.bocm.es/organismo-autonomo</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Inicio/s/publicar-anuncio</v>
      </c>
      <c r="C1050" s="85" t="str" cm="1">
        <f t="array" ref="C1050">IFERROR(INDEX('03.Muestra'!$F$8:$F$42,SMALL(IF("Página Web"='03.Muestra'!$D$8:$D$42,ROW('03.Muestra'!$F$8:$F$42)-MIN(ROW('03.Muestra'!$D$8:$D$42))+1,""),ROW()-1044)),"")</f>
        <v>https://www.bocm.es/publicar-anuncio</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Inicio/declaracion-de-accesibilidad</v>
      </c>
      <c r="C1051" s="85" t="str" cm="1">
        <f t="array" ref="C1051">IFERROR(INDEX('03.Muestra'!$F$8:$F$42,SMALL(IF("Página Web"='03.Muestra'!$D$8:$D$42,ROW('03.Muestra'!$F$8:$F$42)-MIN(ROW('03.Muestra'!$D$8:$D$42))+1,""),ROW()-1044)),"")</f>
        <v>https://www.bocm.es/declaracion-de-accesibilidad</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t="str" cm="1">
        <f t="array" ref="A1052">IFERROR(INDEX('03.Muestra'!$B$8:$B$42,SMALL(IF("Página Web"='03.Muestra'!$D$8:$D$42,ROW('03.Muestra'!$B$8:$B$42)-MIN(ROW('03.Muestra'!$D$8:$D$42))+1,""),ROW()-1044)),"")</f>
        <v/>
      </c>
      <c r="B1052" s="85" t="str" cm="1">
        <f t="array" ref="B1052">IFERROR(INDEX('03.Muestra'!$C$8:$C$42,SMALL(IF("Página Web"='03.Muestra'!$D$8:$D$42,ROW('03.Muestra'!$C$8:$C$42)-MIN(ROW('03.Muestra'!$D$8:$D$42))+1,""),ROW()-1044)),"")</f>
        <v/>
      </c>
      <c r="C1052" s="85" t="str" cm="1">
        <f t="array" ref="C1052">IFERROR(INDEX('03.Muestra'!$F$8:$F$42,SMALL(IF("Página Web"='03.Muestra'!$D$8:$D$42,ROW('03.Muestra'!$F$8:$F$42)-MIN(ROW('03.Muestra'!$D$8:$D$42))+1,""),ROW()-1044)),"")</f>
        <v/>
      </c>
      <c r="D1052" s="99" t="str">
        <f t="shared" ref="D1052:D1079" si="55">IF(AND(B1052&lt;&gt;"",C1052&lt;&gt;""),"N/T","")</f>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t="str" cm="1">
        <f t="array" ref="A1053">IFERROR(INDEX('03.Muestra'!$B$8:$B$42,SMALL(IF("Página Web"='03.Muestra'!$D$8:$D$42,ROW('03.Muestra'!$B$8:$B$42)-MIN(ROW('03.Muestra'!$D$8:$D$42))+1,""),ROW()-1044)),"")</f>
        <v/>
      </c>
      <c r="B1053" s="85" t="str" cm="1">
        <f t="array" ref="B1053">IFERROR(INDEX('03.Muestra'!$C$8:$C$42,SMALL(IF("Página Web"='03.Muestra'!$D$8:$D$42,ROW('03.Muestra'!$C$8:$C$42)-MIN(ROW('03.Muestra'!$D$8:$D$42))+1,""),ROW()-1044)),"")</f>
        <v/>
      </c>
      <c r="C1053" s="85" t="str" cm="1">
        <f t="array" ref="C1053">IFERROR(INDEX('03.Muestra'!$F$8:$F$42,SMALL(IF("Página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t="str" cm="1">
        <f t="array" ref="A1054">IFERROR(INDEX('03.Muestra'!$B$8:$B$42,SMALL(IF("Página Web"='03.Muestra'!$D$8:$D$42,ROW('03.Muestra'!$B$8:$B$42)-MIN(ROW('03.Muestra'!$D$8:$D$42))+1,""),ROW()-1044)),"")</f>
        <v/>
      </c>
      <c r="B1054" s="85" t="str" cm="1">
        <f t="array" ref="B1054">IFERROR(INDEX('03.Muestra'!$C$8:$C$42,SMALL(IF("Página Web"='03.Muestra'!$D$8:$D$42,ROW('03.Muestra'!$C$8:$C$42)-MIN(ROW('03.Muestra'!$D$8:$D$42))+1,""),ROW()-1044)),"")</f>
        <v/>
      </c>
      <c r="C1054" s="85" t="str" cm="1">
        <f t="array" ref="C1054">IFERROR(INDEX('03.Muestra'!$F$8:$F$42,SMALL(IF("Página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https://www.bocm.es/</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Inicio/ultimo-bocm</v>
      </c>
      <c r="C1084" s="85" t="str" cm="1">
        <f t="array" ref="C1084">IFERROR(INDEX('03.Muestra'!$F$8:$F$42,SMALL(IF("Página Web"='03.Muestra'!$D$8:$D$42,ROW('03.Muestra'!$F$8:$F$42)-MIN(ROW('03.Muestra'!$D$8:$D$42))+1,""),ROW()-1082)),"")</f>
        <v>https://www.bocm.es/ultimo-bocm</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7</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Inicio/autentificacion-verificacion</v>
      </c>
      <c r="C1085" s="85" t="str" cm="1">
        <f t="array" ref="C1085">IFERROR(INDEX('03.Muestra'!$F$8:$F$42,SMALL(IF("Página Web"='03.Muestra'!$D$8:$D$42,ROW('03.Muestra'!$F$8:$F$42)-MIN(ROW('03.Muestra'!$D$8:$D$42))+1,""),ROW()-1082)),"")</f>
        <v>https://www.bocm.es/autentificacion-verificacion</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Inicio/que-es-bocm</v>
      </c>
      <c r="C1086" s="85" t="str" cm="1">
        <f t="array" ref="C1086">IFERROR(INDEX('03.Muestra'!$F$8:$F$42,SMALL(IF("Página Web"='03.Muestra'!$D$8:$D$42,ROW('03.Muestra'!$F$8:$F$42)-MIN(ROW('03.Muestra'!$D$8:$D$42))+1,""),ROW()-1082)),"")</f>
        <v>https://www.bocm.es/que-es-bocm</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Inicio/organismo-autonomo</v>
      </c>
      <c r="C1087" s="85" t="str" cm="1">
        <f t="array" ref="C1087">IFERROR(INDEX('03.Muestra'!$F$8:$F$42,SMALL(IF("Página Web"='03.Muestra'!$D$8:$D$42,ROW('03.Muestra'!$F$8:$F$42)-MIN(ROW('03.Muestra'!$D$8:$D$42))+1,""),ROW()-1082)),"")</f>
        <v>https://www.bocm.es/organismo-autonomo</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Inicio/s/publicar-anuncio</v>
      </c>
      <c r="C1088" s="85" t="str" cm="1">
        <f t="array" ref="C1088">IFERROR(INDEX('03.Muestra'!$F$8:$F$42,SMALL(IF("Página Web"='03.Muestra'!$D$8:$D$42,ROW('03.Muestra'!$F$8:$F$42)-MIN(ROW('03.Muestra'!$D$8:$D$42))+1,""),ROW()-1082)),"")</f>
        <v>https://www.bocm.es/publicar-anuncio</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Inicio/declaracion-de-accesibilidad</v>
      </c>
      <c r="C1089" s="85" t="str" cm="1">
        <f t="array" ref="C1089">IFERROR(INDEX('03.Muestra'!$F$8:$F$42,SMALL(IF("Página Web"='03.Muestra'!$D$8:$D$42,ROW('03.Muestra'!$F$8:$F$42)-MIN(ROW('03.Muestra'!$D$8:$D$42))+1,""),ROW()-1082)),"")</f>
        <v>https://www.bocm.es/declaracion-de-accesibilidad</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t="str" cm="1">
        <f t="array" ref="A1090">IFERROR(INDEX('03.Muestra'!$B$8:$B$42,SMALL(IF("Página Web"='03.Muestra'!$D$8:$D$42,ROW('03.Muestra'!$B$8:$B$42)-MIN(ROW('03.Muestra'!$D$8:$D$42))+1,""),ROW()-1082)),"")</f>
        <v/>
      </c>
      <c r="B1090" s="85" t="str" cm="1">
        <f t="array" ref="B1090">IFERROR(INDEX('03.Muestra'!$C$8:$C$42,SMALL(IF("Página Web"='03.Muestra'!$D$8:$D$42,ROW('03.Muestra'!$C$8:$C$42)-MIN(ROW('03.Muestra'!$D$8:$D$42))+1,""),ROW()-1082)),"")</f>
        <v/>
      </c>
      <c r="C1090" s="85" t="str" cm="1">
        <f t="array" ref="C1090">IFERROR(INDEX('03.Muestra'!$F$8:$F$42,SMALL(IF("Página Web"='03.Muestra'!$D$8:$D$42,ROW('03.Muestra'!$F$8:$F$42)-MIN(ROW('03.Muestra'!$D$8:$D$42))+1,""),ROW()-1082)),"")</f>
        <v/>
      </c>
      <c r="D1090" s="99" t="str">
        <f t="shared" ref="D1090:D1117" si="57">IF(AND(B1090&lt;&gt;"",C1090&lt;&gt;""),"N/T","")</f>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t="str" cm="1">
        <f t="array" ref="A1091">IFERROR(INDEX('03.Muestra'!$B$8:$B$42,SMALL(IF("Página Web"='03.Muestra'!$D$8:$D$42,ROW('03.Muestra'!$B$8:$B$42)-MIN(ROW('03.Muestra'!$D$8:$D$42))+1,""),ROW()-1082)),"")</f>
        <v/>
      </c>
      <c r="B1091" s="85" t="str" cm="1">
        <f t="array" ref="B1091">IFERROR(INDEX('03.Muestra'!$C$8:$C$42,SMALL(IF("Página Web"='03.Muestra'!$D$8:$D$42,ROW('03.Muestra'!$C$8:$C$42)-MIN(ROW('03.Muestra'!$D$8:$D$42))+1,""),ROW()-1082)),"")</f>
        <v/>
      </c>
      <c r="C1091" s="85" t="str" cm="1">
        <f t="array" ref="C1091">IFERROR(INDEX('03.Muestra'!$F$8:$F$42,SMALL(IF("Página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t="str" cm="1">
        <f t="array" ref="A1092">IFERROR(INDEX('03.Muestra'!$B$8:$B$42,SMALL(IF("Página Web"='03.Muestra'!$D$8:$D$42,ROW('03.Muestra'!$B$8:$B$42)-MIN(ROW('03.Muestra'!$D$8:$D$42))+1,""),ROW()-1082)),"")</f>
        <v/>
      </c>
      <c r="B1092" s="85" t="str" cm="1">
        <f t="array" ref="B1092">IFERROR(INDEX('03.Muestra'!$C$8:$C$42,SMALL(IF("Página Web"='03.Muestra'!$D$8:$D$42,ROW('03.Muestra'!$C$8:$C$42)-MIN(ROW('03.Muestra'!$D$8:$D$42))+1,""),ROW()-1082)),"")</f>
        <v/>
      </c>
      <c r="C1092" s="85" t="str" cm="1">
        <f t="array" ref="C1092">IFERROR(INDEX('03.Muestra'!$F$8:$F$42,SMALL(IF("Página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https://www.bocm.es/</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Inicio/ultimo-bocm</v>
      </c>
      <c r="C1122" s="85" t="str" cm="1">
        <f t="array" ref="C1122">IFERROR(INDEX('03.Muestra'!$F$8:$F$42,SMALL(IF("Página Web"='03.Muestra'!$D$8:$D$42,ROW('03.Muestra'!$F$8:$F$42)-MIN(ROW('03.Muestra'!$D$8:$D$42))+1,""),ROW()-1120)),"")</f>
        <v>https://www.bocm.es/ultimo-bocm</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7</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Inicio/autentificacion-verificacion</v>
      </c>
      <c r="C1123" s="85" t="str" cm="1">
        <f t="array" ref="C1123">IFERROR(INDEX('03.Muestra'!$F$8:$F$42,SMALL(IF("Página Web"='03.Muestra'!$D$8:$D$42,ROW('03.Muestra'!$F$8:$F$42)-MIN(ROW('03.Muestra'!$D$8:$D$42))+1,""),ROW()-1120)),"")</f>
        <v>https://www.bocm.es/autentificacion-verificacion</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Inicio/que-es-bocm</v>
      </c>
      <c r="C1124" s="85" t="str" cm="1">
        <f t="array" ref="C1124">IFERROR(INDEX('03.Muestra'!$F$8:$F$42,SMALL(IF("Página Web"='03.Muestra'!$D$8:$D$42,ROW('03.Muestra'!$F$8:$F$42)-MIN(ROW('03.Muestra'!$D$8:$D$42))+1,""),ROW()-1120)),"")</f>
        <v>https://www.bocm.es/que-es-bocm</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Inicio/organismo-autonomo</v>
      </c>
      <c r="C1125" s="85" t="str" cm="1">
        <f t="array" ref="C1125">IFERROR(INDEX('03.Muestra'!$F$8:$F$42,SMALL(IF("Página Web"='03.Muestra'!$D$8:$D$42,ROW('03.Muestra'!$F$8:$F$42)-MIN(ROW('03.Muestra'!$D$8:$D$42))+1,""),ROW()-1120)),"")</f>
        <v>https://www.bocm.es/organismo-autonomo</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Inicio/s/publicar-anuncio</v>
      </c>
      <c r="C1126" s="85" t="str" cm="1">
        <f t="array" ref="C1126">IFERROR(INDEX('03.Muestra'!$F$8:$F$42,SMALL(IF("Página Web"='03.Muestra'!$D$8:$D$42,ROW('03.Muestra'!$F$8:$F$42)-MIN(ROW('03.Muestra'!$D$8:$D$42))+1,""),ROW()-1120)),"")</f>
        <v>https://www.bocm.es/publicar-anuncio</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Inicio/declaracion-de-accesibilidad</v>
      </c>
      <c r="C1127" s="85" t="str" cm="1">
        <f t="array" ref="C1127">IFERROR(INDEX('03.Muestra'!$F$8:$F$42,SMALL(IF("Página Web"='03.Muestra'!$D$8:$D$42,ROW('03.Muestra'!$F$8:$F$42)-MIN(ROW('03.Muestra'!$D$8:$D$42))+1,""),ROW()-1120)),"")</f>
        <v>https://www.bocm.es/declaracion-de-accesibilidad</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t="str" cm="1">
        <f t="array" ref="A1128">IFERROR(INDEX('03.Muestra'!$B$8:$B$42,SMALL(IF("Página Web"='03.Muestra'!$D$8:$D$42,ROW('03.Muestra'!$B$8:$B$42)-MIN(ROW('03.Muestra'!$D$8:$D$42))+1,""),ROW()-1120)),"")</f>
        <v/>
      </c>
      <c r="B1128" s="85" t="str" cm="1">
        <f t="array" ref="B1128">IFERROR(INDEX('03.Muestra'!$C$8:$C$42,SMALL(IF("Página Web"='03.Muestra'!$D$8:$D$42,ROW('03.Muestra'!$C$8:$C$42)-MIN(ROW('03.Muestra'!$D$8:$D$42))+1,""),ROW()-1120)),"")</f>
        <v/>
      </c>
      <c r="C1128" s="85" t="str" cm="1">
        <f t="array" ref="C1128">IFERROR(INDEX('03.Muestra'!$F$8:$F$42,SMALL(IF("Página Web"='03.Muestra'!$D$8:$D$42,ROW('03.Muestra'!$F$8:$F$42)-MIN(ROW('03.Muestra'!$D$8:$D$42))+1,""),ROW()-1120)),"")</f>
        <v/>
      </c>
      <c r="D1128" s="99" t="str">
        <f t="shared" ref="D1128:D1155" si="59">IF(AND(B1128&lt;&gt;"",C1128&lt;&gt;""),"N/T","")</f>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t="str" cm="1">
        <f t="array" ref="A1129">IFERROR(INDEX('03.Muestra'!$B$8:$B$42,SMALL(IF("Página Web"='03.Muestra'!$D$8:$D$42,ROW('03.Muestra'!$B$8:$B$42)-MIN(ROW('03.Muestra'!$D$8:$D$42))+1,""),ROW()-1120)),"")</f>
        <v/>
      </c>
      <c r="B1129" s="85" t="str" cm="1">
        <f t="array" ref="B1129">IFERROR(INDEX('03.Muestra'!$C$8:$C$42,SMALL(IF("Página Web"='03.Muestra'!$D$8:$D$42,ROW('03.Muestra'!$C$8:$C$42)-MIN(ROW('03.Muestra'!$D$8:$D$42))+1,""),ROW()-1120)),"")</f>
        <v/>
      </c>
      <c r="C1129" s="85" t="str" cm="1">
        <f t="array" ref="C1129">IFERROR(INDEX('03.Muestra'!$F$8:$F$42,SMALL(IF("Página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t="str" cm="1">
        <f t="array" ref="A1130">IFERROR(INDEX('03.Muestra'!$B$8:$B$42,SMALL(IF("Página Web"='03.Muestra'!$D$8:$D$42,ROW('03.Muestra'!$B$8:$B$42)-MIN(ROW('03.Muestra'!$D$8:$D$42))+1,""),ROW()-1120)),"")</f>
        <v/>
      </c>
      <c r="B1130" s="85" t="str" cm="1">
        <f t="array" ref="B1130">IFERROR(INDEX('03.Muestra'!$C$8:$C$42,SMALL(IF("Página Web"='03.Muestra'!$D$8:$D$42,ROW('03.Muestra'!$C$8:$C$42)-MIN(ROW('03.Muestra'!$D$8:$D$42))+1,""),ROW()-1120)),"")</f>
        <v/>
      </c>
      <c r="C1130" s="85" t="str" cm="1">
        <f t="array" ref="C1130">IFERROR(INDEX('03.Muestra'!$F$8:$F$42,SMALL(IF("Página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https://www.bocm.es/</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Inicio/ultimo-bocm</v>
      </c>
      <c r="C1160" s="85" t="str" cm="1">
        <f t="array" ref="C1160">IFERROR(INDEX('03.Muestra'!$F$8:$F$42,SMALL(IF("Página Web"='03.Muestra'!$D$8:$D$42,ROW('03.Muestra'!$F$8:$F$42)-MIN(ROW('03.Muestra'!$D$8:$D$42))+1,""),ROW()-1158)),"")</f>
        <v>https://www.bocm.es/ultimo-bocm</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7</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Inicio/autentificacion-verificacion</v>
      </c>
      <c r="C1161" s="85" t="str" cm="1">
        <f t="array" ref="C1161">IFERROR(INDEX('03.Muestra'!$F$8:$F$42,SMALL(IF("Página Web"='03.Muestra'!$D$8:$D$42,ROW('03.Muestra'!$F$8:$F$42)-MIN(ROW('03.Muestra'!$D$8:$D$42))+1,""),ROW()-1158)),"")</f>
        <v>https://www.bocm.es/autentificacion-verificacion</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Inicio/que-es-bocm</v>
      </c>
      <c r="C1162" s="85" t="str" cm="1">
        <f t="array" ref="C1162">IFERROR(INDEX('03.Muestra'!$F$8:$F$42,SMALL(IF("Página Web"='03.Muestra'!$D$8:$D$42,ROW('03.Muestra'!$F$8:$F$42)-MIN(ROW('03.Muestra'!$D$8:$D$42))+1,""),ROW()-1158)),"")</f>
        <v>https://www.bocm.es/que-es-bocm</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Inicio/organismo-autonomo</v>
      </c>
      <c r="C1163" s="85" t="str" cm="1">
        <f t="array" ref="C1163">IFERROR(INDEX('03.Muestra'!$F$8:$F$42,SMALL(IF("Página Web"='03.Muestra'!$D$8:$D$42,ROW('03.Muestra'!$F$8:$F$42)-MIN(ROW('03.Muestra'!$D$8:$D$42))+1,""),ROW()-1158)),"")</f>
        <v>https://www.bocm.es/organismo-autonomo</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Inicio/s/publicar-anuncio</v>
      </c>
      <c r="C1164" s="85" t="str" cm="1">
        <f t="array" ref="C1164">IFERROR(INDEX('03.Muestra'!$F$8:$F$42,SMALL(IF("Página Web"='03.Muestra'!$D$8:$D$42,ROW('03.Muestra'!$F$8:$F$42)-MIN(ROW('03.Muestra'!$D$8:$D$42))+1,""),ROW()-1158)),"")</f>
        <v>https://www.bocm.es/publicar-anuncio</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Inicio/declaracion-de-accesibilidad</v>
      </c>
      <c r="C1165" s="85" t="str" cm="1">
        <f t="array" ref="C1165">IFERROR(INDEX('03.Muestra'!$F$8:$F$42,SMALL(IF("Página Web"='03.Muestra'!$D$8:$D$42,ROW('03.Muestra'!$F$8:$F$42)-MIN(ROW('03.Muestra'!$D$8:$D$42))+1,""),ROW()-1158)),"")</f>
        <v>https://www.bocm.es/declaracion-de-accesibilidad</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t="str" cm="1">
        <f t="array" ref="A1166">IFERROR(INDEX('03.Muestra'!$B$8:$B$42,SMALL(IF("Página Web"='03.Muestra'!$D$8:$D$42,ROW('03.Muestra'!$B$8:$B$42)-MIN(ROW('03.Muestra'!$D$8:$D$42))+1,""),ROW()-1158)),"")</f>
        <v/>
      </c>
      <c r="B1166" s="85" t="str" cm="1">
        <f t="array" ref="B1166">IFERROR(INDEX('03.Muestra'!$C$8:$C$42,SMALL(IF("Página Web"='03.Muestra'!$D$8:$D$42,ROW('03.Muestra'!$C$8:$C$42)-MIN(ROW('03.Muestra'!$D$8:$D$42))+1,""),ROW()-1158)),"")</f>
        <v/>
      </c>
      <c r="C1166" s="85" t="str" cm="1">
        <f t="array" ref="C1166">IFERROR(INDEX('03.Muestra'!$F$8:$F$42,SMALL(IF("Página Web"='03.Muestra'!$D$8:$D$42,ROW('03.Muestra'!$F$8:$F$42)-MIN(ROW('03.Muestra'!$D$8:$D$42))+1,""),ROW()-1158)),"")</f>
        <v/>
      </c>
      <c r="D1166" s="99" t="str">
        <f t="shared" ref="D1166:D1193" si="61">IF(AND(B1166&lt;&gt;"",C1166&lt;&gt;""),"N/T","")</f>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t="str" cm="1">
        <f t="array" ref="A1167">IFERROR(INDEX('03.Muestra'!$B$8:$B$42,SMALL(IF("Página Web"='03.Muestra'!$D$8:$D$42,ROW('03.Muestra'!$B$8:$B$42)-MIN(ROW('03.Muestra'!$D$8:$D$42))+1,""),ROW()-1158)),"")</f>
        <v/>
      </c>
      <c r="B1167" s="85" t="str" cm="1">
        <f t="array" ref="B1167">IFERROR(INDEX('03.Muestra'!$C$8:$C$42,SMALL(IF("Página Web"='03.Muestra'!$D$8:$D$42,ROW('03.Muestra'!$C$8:$C$42)-MIN(ROW('03.Muestra'!$D$8:$D$42))+1,""),ROW()-1158)),"")</f>
        <v/>
      </c>
      <c r="C1167" s="85" t="str" cm="1">
        <f t="array" ref="C1167">IFERROR(INDEX('03.Muestra'!$F$8:$F$42,SMALL(IF("Página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t="str" cm="1">
        <f t="array" ref="A1168">IFERROR(INDEX('03.Muestra'!$B$8:$B$42,SMALL(IF("Página Web"='03.Muestra'!$D$8:$D$42,ROW('03.Muestra'!$B$8:$B$42)-MIN(ROW('03.Muestra'!$D$8:$D$42))+1,""),ROW()-1158)),"")</f>
        <v/>
      </c>
      <c r="B1168" s="85" t="str" cm="1">
        <f t="array" ref="B1168">IFERROR(INDEX('03.Muestra'!$C$8:$C$42,SMALL(IF("Página Web"='03.Muestra'!$D$8:$D$42,ROW('03.Muestra'!$C$8:$C$42)-MIN(ROW('03.Muestra'!$D$8:$D$42))+1,""),ROW()-1158)),"")</f>
        <v/>
      </c>
      <c r="C1168" s="85" t="str" cm="1">
        <f t="array" ref="C1168">IFERROR(INDEX('03.Muestra'!$F$8:$F$42,SMALL(IF("Página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https://www.bocm.es/</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Inicio/ultimo-bocm</v>
      </c>
      <c r="C1198" s="85" t="str" cm="1">
        <f t="array" ref="C1198">IFERROR(INDEX('03.Muestra'!$F$8:$F$42,SMALL(IF("Página Web"='03.Muestra'!$D$8:$D$42,ROW('03.Muestra'!$F$8:$F$42)-MIN(ROW('03.Muestra'!$D$8:$D$42))+1,""),ROW()-1196)),"")</f>
        <v>https://www.bocm.es/ultimo-bocm</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7</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Inicio/autentificacion-verificacion</v>
      </c>
      <c r="C1199" s="85" t="str" cm="1">
        <f t="array" ref="C1199">IFERROR(INDEX('03.Muestra'!$F$8:$F$42,SMALL(IF("Página Web"='03.Muestra'!$D$8:$D$42,ROW('03.Muestra'!$F$8:$F$42)-MIN(ROW('03.Muestra'!$D$8:$D$42))+1,""),ROW()-1196)),"")</f>
        <v>https://www.bocm.es/autentificacion-verificacion</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Inicio/que-es-bocm</v>
      </c>
      <c r="C1200" s="85" t="str" cm="1">
        <f t="array" ref="C1200">IFERROR(INDEX('03.Muestra'!$F$8:$F$42,SMALL(IF("Página Web"='03.Muestra'!$D$8:$D$42,ROW('03.Muestra'!$F$8:$F$42)-MIN(ROW('03.Muestra'!$D$8:$D$42))+1,""),ROW()-1196)),"")</f>
        <v>https://www.bocm.es/que-es-bocm</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Inicio/organismo-autonomo</v>
      </c>
      <c r="C1201" s="85" t="str" cm="1">
        <f t="array" ref="C1201">IFERROR(INDEX('03.Muestra'!$F$8:$F$42,SMALL(IF("Página Web"='03.Muestra'!$D$8:$D$42,ROW('03.Muestra'!$F$8:$F$42)-MIN(ROW('03.Muestra'!$D$8:$D$42))+1,""),ROW()-1196)),"")</f>
        <v>https://www.bocm.es/organismo-autonomo</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Inicio/s/publicar-anuncio</v>
      </c>
      <c r="C1202" s="85" t="str" cm="1">
        <f t="array" ref="C1202">IFERROR(INDEX('03.Muestra'!$F$8:$F$42,SMALL(IF("Página Web"='03.Muestra'!$D$8:$D$42,ROW('03.Muestra'!$F$8:$F$42)-MIN(ROW('03.Muestra'!$D$8:$D$42))+1,""),ROW()-1196)),"")</f>
        <v>https://www.bocm.es/publicar-anuncio</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Inicio/declaracion-de-accesibilidad</v>
      </c>
      <c r="C1203" s="85" t="str" cm="1">
        <f t="array" ref="C1203">IFERROR(INDEX('03.Muestra'!$F$8:$F$42,SMALL(IF("Página Web"='03.Muestra'!$D$8:$D$42,ROW('03.Muestra'!$F$8:$F$42)-MIN(ROW('03.Muestra'!$D$8:$D$42))+1,""),ROW()-1196)),"")</f>
        <v>https://www.bocm.es/declaracion-de-accesibilidad</v>
      </c>
      <c r="D1203" s="99" t="s">
        <v>94</v>
      </c>
      <c r="E1203" s="79" t="str">
        <f t="shared" si="62"/>
        <v/>
      </c>
      <c r="F1203" s="18"/>
      <c r="G1203" s="18"/>
      <c r="H1203" s="18"/>
      <c r="I1203" s="18"/>
      <c r="J1203" s="18"/>
      <c r="K1203" s="184"/>
      <c r="L1203" s="18"/>
    </row>
    <row r="1204" spans="1:12" ht="12" customHeight="1">
      <c r="A1204" s="39" t="str" cm="1">
        <f t="array" ref="A1204">IFERROR(INDEX('03.Muestra'!$B$8:$B$42,SMALL(IF("Página Web"='03.Muestra'!$D$8:$D$42,ROW('03.Muestra'!$B$8:$B$42)-MIN(ROW('03.Muestra'!$D$8:$D$42))+1,""),ROW()-1196)),"")</f>
        <v/>
      </c>
      <c r="B1204" s="85" t="str" cm="1">
        <f t="array" ref="B1204">IFERROR(INDEX('03.Muestra'!$C$8:$C$42,SMALL(IF("Página Web"='03.Muestra'!$D$8:$D$42,ROW('03.Muestra'!$C$8:$C$42)-MIN(ROW('03.Muestra'!$D$8:$D$42))+1,""),ROW()-1196)),"")</f>
        <v/>
      </c>
      <c r="C1204" s="85" t="str" cm="1">
        <f t="array" ref="C1204">IFERROR(INDEX('03.Muestra'!$F$8:$F$42,SMALL(IF("Página Web"='03.Muestra'!$D$8:$D$42,ROW('03.Muestra'!$F$8:$F$42)-MIN(ROW('03.Muestra'!$D$8:$D$42))+1,""),ROW()-1196)),"")</f>
        <v/>
      </c>
      <c r="D1204" s="99" t="str">
        <f t="shared" ref="D1204:D1231" si="63">IF(AND(B1204&lt;&gt;"",C1204&lt;&gt;""),"N/T","")</f>
        <v/>
      </c>
      <c r="E1204" s="79" t="str">
        <f t="shared" si="62"/>
        <v/>
      </c>
      <c r="F1204" s="18"/>
      <c r="G1204" s="18"/>
      <c r="H1204" s="18"/>
      <c r="I1204" s="18"/>
      <c r="J1204" s="18"/>
      <c r="K1204" s="184"/>
      <c r="L1204" s="18"/>
    </row>
    <row r="1205" spans="1:12" ht="12" customHeight="1">
      <c r="A1205" s="39" t="str" cm="1">
        <f t="array" ref="A1205">IFERROR(INDEX('03.Muestra'!$B$8:$B$42,SMALL(IF("Página Web"='03.Muestra'!$D$8:$D$42,ROW('03.Muestra'!$B$8:$B$42)-MIN(ROW('03.Muestra'!$D$8:$D$42))+1,""),ROW()-1196)),"")</f>
        <v/>
      </c>
      <c r="B1205" s="85" t="str" cm="1">
        <f t="array" ref="B1205">IFERROR(INDEX('03.Muestra'!$C$8:$C$42,SMALL(IF("Página Web"='03.Muestra'!$D$8:$D$42,ROW('03.Muestra'!$C$8:$C$42)-MIN(ROW('03.Muestra'!$D$8:$D$42))+1,""),ROW()-1196)),"")</f>
        <v/>
      </c>
      <c r="C1205" s="85" t="str" cm="1">
        <f t="array" ref="C1205">IFERROR(INDEX('03.Muestra'!$F$8:$F$42,SMALL(IF("Página Web"='03.Muestra'!$D$8:$D$42,ROW('03.Muestra'!$F$8:$F$42)-MIN(ROW('03.Muestra'!$D$8:$D$42))+1,""),ROW()-1196)),"")</f>
        <v/>
      </c>
      <c r="D1205" s="99" t="str">
        <f t="shared" si="63"/>
        <v/>
      </c>
      <c r="E1205" s="79" t="str">
        <f t="shared" si="62"/>
        <v/>
      </c>
      <c r="F1205" s="18"/>
      <c r="G1205" s="18"/>
      <c r="H1205" s="18"/>
      <c r="I1205" s="18"/>
      <c r="J1205" s="18"/>
      <c r="K1205" s="184"/>
      <c r="L1205" s="18"/>
    </row>
    <row r="1206" spans="1:12" ht="12" customHeight="1">
      <c r="A1206" s="39" t="str" cm="1">
        <f t="array" ref="A1206">IFERROR(INDEX('03.Muestra'!$B$8:$B$42,SMALL(IF("Página Web"='03.Muestra'!$D$8:$D$42,ROW('03.Muestra'!$B$8:$B$42)-MIN(ROW('03.Muestra'!$D$8:$D$42))+1,""),ROW()-1196)),"")</f>
        <v/>
      </c>
      <c r="B1206" s="85" t="str" cm="1">
        <f t="array" ref="B1206">IFERROR(INDEX('03.Muestra'!$C$8:$C$42,SMALL(IF("Página Web"='03.Muestra'!$D$8:$D$42,ROW('03.Muestra'!$C$8:$C$42)-MIN(ROW('03.Muestra'!$D$8:$D$42))+1,""),ROW()-1196)),"")</f>
        <v/>
      </c>
      <c r="C1206" s="85" t="str" cm="1">
        <f t="array" ref="C1206">IFERROR(INDEX('03.Muestra'!$F$8:$F$42,SMALL(IF("Página Web"='03.Muestra'!$D$8:$D$42,ROW('03.Muestra'!$F$8:$F$42)-MIN(ROW('03.Muestra'!$D$8:$D$42))+1,""),ROW()-1196)),"")</f>
        <v/>
      </c>
      <c r="D1206" s="99" t="str">
        <f t="shared" si="63"/>
        <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si="63"/>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https://www.bocm.es/</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Inicio/ultimo-bocm</v>
      </c>
      <c r="C1236" s="85" t="str" cm="1">
        <f t="array" ref="C1236">IFERROR(INDEX('03.Muestra'!$F$8:$F$42,SMALL(IF("Página Web"='03.Muestra'!$D$8:$D$42,ROW('03.Muestra'!$F$8:$F$42)-MIN(ROW('03.Muestra'!$D$8:$D$42))+1,""),ROW()-1234)),"")</f>
        <v>https://www.bocm.es/ultimo-bocm</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7</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Inicio/autentificacion-verificacion</v>
      </c>
      <c r="C1237" s="85" t="str" cm="1">
        <f t="array" ref="C1237">IFERROR(INDEX('03.Muestra'!$F$8:$F$42,SMALL(IF("Página Web"='03.Muestra'!$D$8:$D$42,ROW('03.Muestra'!$F$8:$F$42)-MIN(ROW('03.Muestra'!$D$8:$D$42))+1,""),ROW()-1234)),"")</f>
        <v>https://www.bocm.es/autentificacion-verificacion</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Inicio/que-es-bocm</v>
      </c>
      <c r="C1238" s="85" t="str" cm="1">
        <f t="array" ref="C1238">IFERROR(INDEX('03.Muestra'!$F$8:$F$42,SMALL(IF("Página Web"='03.Muestra'!$D$8:$D$42,ROW('03.Muestra'!$F$8:$F$42)-MIN(ROW('03.Muestra'!$D$8:$D$42))+1,""),ROW()-1234)),"")</f>
        <v>https://www.bocm.es/que-es-bocm</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Inicio/organismo-autonomo</v>
      </c>
      <c r="C1239" s="85" t="str" cm="1">
        <f t="array" ref="C1239">IFERROR(INDEX('03.Muestra'!$F$8:$F$42,SMALL(IF("Página Web"='03.Muestra'!$D$8:$D$42,ROW('03.Muestra'!$F$8:$F$42)-MIN(ROW('03.Muestra'!$D$8:$D$42))+1,""),ROW()-1234)),"")</f>
        <v>https://www.bocm.es/organismo-autonomo</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Inicio/s/publicar-anuncio</v>
      </c>
      <c r="C1240" s="85" t="str" cm="1">
        <f t="array" ref="C1240">IFERROR(INDEX('03.Muestra'!$F$8:$F$42,SMALL(IF("Página Web"='03.Muestra'!$D$8:$D$42,ROW('03.Muestra'!$F$8:$F$42)-MIN(ROW('03.Muestra'!$D$8:$D$42))+1,""),ROW()-1234)),"")</f>
        <v>https://www.bocm.es/publicar-anuncio</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Inicio/declaracion-de-accesibilidad</v>
      </c>
      <c r="C1241" s="85" t="str" cm="1">
        <f t="array" ref="C1241">IFERROR(INDEX('03.Muestra'!$F$8:$F$42,SMALL(IF("Página Web"='03.Muestra'!$D$8:$D$42,ROW('03.Muestra'!$F$8:$F$42)-MIN(ROW('03.Muestra'!$D$8:$D$42))+1,""),ROW()-1234)),"")</f>
        <v>https://www.bocm.es/declaracion-de-accesibilidad</v>
      </c>
      <c r="D1241" s="99" t="s">
        <v>104</v>
      </c>
      <c r="E1241" s="79" t="str">
        <f t="shared" si="64"/>
        <v/>
      </c>
      <c r="F1241" s="18"/>
      <c r="G1241" s="18"/>
      <c r="H1241" s="18"/>
      <c r="I1241" s="18"/>
      <c r="J1241" s="18"/>
      <c r="K1241" s="184"/>
      <c r="L1241" s="18"/>
    </row>
    <row r="1242" spans="1:12" ht="12" customHeight="1">
      <c r="A1242" s="39" t="str" cm="1">
        <f t="array" ref="A1242">IFERROR(INDEX('03.Muestra'!$B$8:$B$42,SMALL(IF("Página Web"='03.Muestra'!$D$8:$D$42,ROW('03.Muestra'!$B$8:$B$42)-MIN(ROW('03.Muestra'!$D$8:$D$42))+1,""),ROW()-1234)),"")</f>
        <v/>
      </c>
      <c r="B1242" s="85" t="str" cm="1">
        <f t="array" ref="B1242">IFERROR(INDEX('03.Muestra'!$C$8:$C$42,SMALL(IF("Página Web"='03.Muestra'!$D$8:$D$42,ROW('03.Muestra'!$C$8:$C$42)-MIN(ROW('03.Muestra'!$D$8:$D$42))+1,""),ROW()-1234)),"")</f>
        <v/>
      </c>
      <c r="C1242" s="85" t="str" cm="1">
        <f t="array" ref="C1242">IFERROR(INDEX('03.Muestra'!$F$8:$F$42,SMALL(IF("Página Web"='03.Muestra'!$D$8:$D$42,ROW('03.Muestra'!$F$8:$F$42)-MIN(ROW('03.Muestra'!$D$8:$D$42))+1,""),ROW()-1234)),"")</f>
        <v/>
      </c>
      <c r="D1242" s="99" t="str">
        <f t="shared" ref="D1242:D1269" si="65">IF(AND(B1242&lt;&gt;"",C1242&lt;&gt;""),"N/T","")</f>
        <v/>
      </c>
      <c r="E1242" s="79" t="str">
        <f t="shared" si="64"/>
        <v/>
      </c>
      <c r="F1242" s="18"/>
      <c r="G1242" s="18"/>
      <c r="H1242" s="18"/>
      <c r="I1242" s="18"/>
      <c r="J1242" s="18"/>
      <c r="K1242" s="184"/>
      <c r="L1242" s="18"/>
    </row>
    <row r="1243" spans="1:12" ht="12" customHeight="1">
      <c r="A1243" s="39" t="str" cm="1">
        <f t="array" ref="A1243">IFERROR(INDEX('03.Muestra'!$B$8:$B$42,SMALL(IF("Página Web"='03.Muestra'!$D$8:$D$42,ROW('03.Muestra'!$B$8:$B$42)-MIN(ROW('03.Muestra'!$D$8:$D$42))+1,""),ROW()-1234)),"")</f>
        <v/>
      </c>
      <c r="B1243" s="85" t="str" cm="1">
        <f t="array" ref="B1243">IFERROR(INDEX('03.Muestra'!$C$8:$C$42,SMALL(IF("Página Web"='03.Muestra'!$D$8:$D$42,ROW('03.Muestra'!$C$8:$C$42)-MIN(ROW('03.Muestra'!$D$8:$D$42))+1,""),ROW()-1234)),"")</f>
        <v/>
      </c>
      <c r="C1243" s="85" t="str" cm="1">
        <f t="array" ref="C1243">IFERROR(INDEX('03.Muestra'!$F$8:$F$42,SMALL(IF("Página Web"='03.Muestra'!$D$8:$D$42,ROW('03.Muestra'!$F$8:$F$42)-MIN(ROW('03.Muestra'!$D$8:$D$42))+1,""),ROW()-1234)),"")</f>
        <v/>
      </c>
      <c r="D1243" s="99" t="str">
        <f t="shared" si="65"/>
        <v/>
      </c>
      <c r="E1243" s="79" t="str">
        <f t="shared" si="64"/>
        <v/>
      </c>
      <c r="F1243" s="18"/>
      <c r="G1243" s="18"/>
      <c r="H1243" s="18"/>
      <c r="I1243" s="18"/>
      <c r="J1243" s="18"/>
      <c r="K1243" s="184"/>
      <c r="L1243" s="18"/>
    </row>
    <row r="1244" spans="1:12" ht="12" customHeight="1">
      <c r="A1244" s="39" t="str" cm="1">
        <f t="array" ref="A1244">IFERROR(INDEX('03.Muestra'!$B$8:$B$42,SMALL(IF("Página Web"='03.Muestra'!$D$8:$D$42,ROW('03.Muestra'!$B$8:$B$42)-MIN(ROW('03.Muestra'!$D$8:$D$42))+1,""),ROW()-1234)),"")</f>
        <v/>
      </c>
      <c r="B1244" s="85" t="str" cm="1">
        <f t="array" ref="B1244">IFERROR(INDEX('03.Muestra'!$C$8:$C$42,SMALL(IF("Página Web"='03.Muestra'!$D$8:$D$42,ROW('03.Muestra'!$C$8:$C$42)-MIN(ROW('03.Muestra'!$D$8:$D$42))+1,""),ROW()-1234)),"")</f>
        <v/>
      </c>
      <c r="C1244" s="85" t="str" cm="1">
        <f t="array" ref="C1244">IFERROR(INDEX('03.Muestra'!$F$8:$F$42,SMALL(IF("Página Web"='03.Muestra'!$D$8:$D$42,ROW('03.Muestra'!$F$8:$F$42)-MIN(ROW('03.Muestra'!$D$8:$D$42))+1,""),ROW()-1234)),"")</f>
        <v/>
      </c>
      <c r="D1244" s="99" t="str">
        <f t="shared" si="65"/>
        <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si="65"/>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https://www.bocm.es/</v>
      </c>
      <c r="D1273" s="99" t="s">
        <v>104</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Inicio/ultimo-bocm</v>
      </c>
      <c r="C1274" s="85" t="str" cm="1">
        <f t="array" ref="C1274">IFERROR(INDEX('03.Muestra'!$F$8:$F$42,SMALL(IF("Página Web"='03.Muestra'!$D$8:$D$42,ROW('03.Muestra'!$F$8:$F$42)-MIN(ROW('03.Muestra'!$D$8:$D$42))+1,""),ROW()-1272)),"")</f>
        <v>https://www.bocm.es/ultimo-bocm</v>
      </c>
      <c r="D1274" s="99" t="s">
        <v>104</v>
      </c>
      <c r="E1274" s="79" t="str">
        <f t="shared" si="66"/>
        <v/>
      </c>
      <c r="F1274" s="91">
        <f ca="1">COUNTIF($D1273:INDIRECT("$D" &amp;  SUM(ROW()-1,'03.Muestra'!$D$45)-1),F1273)</f>
        <v>0</v>
      </c>
      <c r="G1274" s="91">
        <f ca="1">COUNTIF($D1273:INDIRECT("$D" &amp;  SUM(ROW()-1,'03.Muestra'!$D$45)-1),G1273)</f>
        <v>0</v>
      </c>
      <c r="H1274" s="91">
        <f ca="1">COUNTIF($D1273:INDIRECT("$D" &amp;  SUM(ROW()-1,'03.Muestra'!$D$45)-1),H1273)</f>
        <v>7</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Inicio/autentificacion-verificacion</v>
      </c>
      <c r="C1275" s="85" t="str" cm="1">
        <f t="array" ref="C1275">IFERROR(INDEX('03.Muestra'!$F$8:$F$42,SMALL(IF("Página Web"='03.Muestra'!$D$8:$D$42,ROW('03.Muestra'!$F$8:$F$42)-MIN(ROW('03.Muestra'!$D$8:$D$42))+1,""),ROW()-1272)),"")</f>
        <v>https://www.bocm.es/autentificacion-verificacion</v>
      </c>
      <c r="D1275" s="99" t="s">
        <v>104</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Inicio/que-es-bocm</v>
      </c>
      <c r="C1276" s="85" t="str" cm="1">
        <f t="array" ref="C1276">IFERROR(INDEX('03.Muestra'!$F$8:$F$42,SMALL(IF("Página Web"='03.Muestra'!$D$8:$D$42,ROW('03.Muestra'!$F$8:$F$42)-MIN(ROW('03.Muestra'!$D$8:$D$42))+1,""),ROW()-1272)),"")</f>
        <v>https://www.bocm.es/que-es-bocm</v>
      </c>
      <c r="D1276" s="99" t="s">
        <v>104</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Inicio/organismo-autonomo</v>
      </c>
      <c r="C1277" s="85" t="str" cm="1">
        <f t="array" ref="C1277">IFERROR(INDEX('03.Muestra'!$F$8:$F$42,SMALL(IF("Página Web"='03.Muestra'!$D$8:$D$42,ROW('03.Muestra'!$F$8:$F$42)-MIN(ROW('03.Muestra'!$D$8:$D$42))+1,""),ROW()-1272)),"")</f>
        <v>https://www.bocm.es/organismo-autonomo</v>
      </c>
      <c r="D1277" s="99" t="s">
        <v>104</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Inicio/s/publicar-anuncio</v>
      </c>
      <c r="C1278" s="85" t="str" cm="1">
        <f t="array" ref="C1278">IFERROR(INDEX('03.Muestra'!$F$8:$F$42,SMALL(IF("Página Web"='03.Muestra'!$D$8:$D$42,ROW('03.Muestra'!$F$8:$F$42)-MIN(ROW('03.Muestra'!$D$8:$D$42))+1,""),ROW()-1272)),"")</f>
        <v>https://www.bocm.es/publicar-anuncio</v>
      </c>
      <c r="D1278" s="99" t="s">
        <v>104</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Inicio/declaracion-de-accesibilidad</v>
      </c>
      <c r="C1279" s="85" t="str" cm="1">
        <f t="array" ref="C1279">IFERROR(INDEX('03.Muestra'!$F$8:$F$42,SMALL(IF("Página Web"='03.Muestra'!$D$8:$D$42,ROW('03.Muestra'!$F$8:$F$42)-MIN(ROW('03.Muestra'!$D$8:$D$42))+1,""),ROW()-1272)),"")</f>
        <v>https://www.bocm.es/declaracion-de-accesibilidad</v>
      </c>
      <c r="D1279" s="99" t="s">
        <v>104</v>
      </c>
      <c r="E1279" s="79" t="str">
        <f t="shared" si="66"/>
        <v/>
      </c>
      <c r="F1279" s="18"/>
      <c r="G1279" s="18"/>
      <c r="H1279" s="18"/>
      <c r="I1279" s="18"/>
      <c r="J1279" s="18"/>
      <c r="K1279" s="184"/>
    </row>
    <row r="1280" spans="1:12" ht="12" customHeight="1">
      <c r="A1280" s="39" t="str" cm="1">
        <f t="array" ref="A1280">IFERROR(INDEX('03.Muestra'!$B$8:$B$42,SMALL(IF("Página Web"='03.Muestra'!$D$8:$D$42,ROW('03.Muestra'!$B$8:$B$42)-MIN(ROW('03.Muestra'!$D$8:$D$42))+1,""),ROW()-1272)),"")</f>
        <v/>
      </c>
      <c r="B1280" s="85" t="str" cm="1">
        <f t="array" ref="B1280">IFERROR(INDEX('03.Muestra'!$C$8:$C$42,SMALL(IF("Página Web"='03.Muestra'!$D$8:$D$42,ROW('03.Muestra'!$C$8:$C$42)-MIN(ROW('03.Muestra'!$D$8:$D$42))+1,""),ROW()-1272)),"")</f>
        <v/>
      </c>
      <c r="C1280" s="85" t="str" cm="1">
        <f t="array" ref="C1280">IFERROR(INDEX('03.Muestra'!$F$8:$F$42,SMALL(IF("Página Web"='03.Muestra'!$D$8:$D$42,ROW('03.Muestra'!$F$8:$F$42)-MIN(ROW('03.Muestra'!$D$8:$D$42))+1,""),ROW()-1272)),"")</f>
        <v/>
      </c>
      <c r="D1280" s="99" t="str">
        <f t="shared" ref="D1280:D1307" si="67">IF(AND(B1280&lt;&gt;"",C1280&lt;&gt;""),"N/T","")</f>
        <v/>
      </c>
      <c r="E1280" s="79" t="str">
        <f t="shared" si="66"/>
        <v/>
      </c>
      <c r="F1280" s="18"/>
      <c r="G1280" s="18"/>
      <c r="H1280" s="18"/>
      <c r="I1280" s="18"/>
      <c r="J1280" s="18"/>
      <c r="K1280" s="184"/>
    </row>
    <row r="1281" spans="1:12" ht="12" customHeight="1">
      <c r="A1281" s="39" t="str" cm="1">
        <f t="array" ref="A1281">IFERROR(INDEX('03.Muestra'!$B$8:$B$42,SMALL(IF("Página Web"='03.Muestra'!$D$8:$D$42,ROW('03.Muestra'!$B$8:$B$42)-MIN(ROW('03.Muestra'!$D$8:$D$42))+1,""),ROW()-1272)),"")</f>
        <v/>
      </c>
      <c r="B1281" s="85" t="str" cm="1">
        <f t="array" ref="B1281">IFERROR(INDEX('03.Muestra'!$C$8:$C$42,SMALL(IF("Página Web"='03.Muestra'!$D$8:$D$42,ROW('03.Muestra'!$C$8:$C$42)-MIN(ROW('03.Muestra'!$D$8:$D$42))+1,""),ROW()-1272)),"")</f>
        <v/>
      </c>
      <c r="C1281" s="85" t="str" cm="1">
        <f t="array" ref="C1281">IFERROR(INDEX('03.Muestra'!$F$8:$F$42,SMALL(IF("Página Web"='03.Muestra'!$D$8:$D$42,ROW('03.Muestra'!$F$8:$F$42)-MIN(ROW('03.Muestra'!$D$8:$D$42))+1,""),ROW()-1272)),"")</f>
        <v/>
      </c>
      <c r="D1281" s="99" t="str">
        <f t="shared" si="67"/>
        <v/>
      </c>
      <c r="E1281" s="79" t="str">
        <f t="shared" si="66"/>
        <v/>
      </c>
      <c r="F1281" s="18"/>
      <c r="G1281" s="18"/>
      <c r="H1281" s="18"/>
      <c r="I1281" s="18"/>
      <c r="J1281" s="18"/>
      <c r="K1281" s="184"/>
      <c r="L1281" s="18"/>
    </row>
    <row r="1282" spans="1:12" ht="12" customHeight="1">
      <c r="A1282" s="39" t="str" cm="1">
        <f t="array" ref="A1282">IFERROR(INDEX('03.Muestra'!$B$8:$B$42,SMALL(IF("Página Web"='03.Muestra'!$D$8:$D$42,ROW('03.Muestra'!$B$8:$B$42)-MIN(ROW('03.Muestra'!$D$8:$D$42))+1,""),ROW()-1272)),"")</f>
        <v/>
      </c>
      <c r="B1282" s="85" t="str" cm="1">
        <f t="array" ref="B1282">IFERROR(INDEX('03.Muestra'!$C$8:$C$42,SMALL(IF("Página Web"='03.Muestra'!$D$8:$D$42,ROW('03.Muestra'!$C$8:$C$42)-MIN(ROW('03.Muestra'!$D$8:$D$42))+1,""),ROW()-1272)),"")</f>
        <v/>
      </c>
      <c r="C1282" s="85" t="str" cm="1">
        <f t="array" ref="C1282">IFERROR(INDEX('03.Muestra'!$F$8:$F$42,SMALL(IF("Página Web"='03.Muestra'!$D$8:$D$42,ROW('03.Muestra'!$F$8:$F$42)-MIN(ROW('03.Muestra'!$D$8:$D$42))+1,""),ROW()-1272)),"")</f>
        <v/>
      </c>
      <c r="D1282" s="99" t="str">
        <f t="shared" si="67"/>
        <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si="67"/>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https://www.bocm.es/</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Inicio/ultimo-bocm</v>
      </c>
      <c r="C1312" s="85" t="str" cm="1">
        <f t="array" ref="C1312">IFERROR(INDEX('03.Muestra'!$F$8:$F$42,SMALL(IF("Página Web"='03.Muestra'!$D$8:$D$42,ROW('03.Muestra'!$F$8:$F$42)-MIN(ROW('03.Muestra'!$D$8:$D$42))+1,""),ROW()-1310)),"")</f>
        <v>https://www.bocm.es/ultimo-bocm</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7</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Inicio/autentificacion-verificacion</v>
      </c>
      <c r="C1313" s="85" t="str" cm="1">
        <f t="array" ref="C1313">IFERROR(INDEX('03.Muestra'!$F$8:$F$42,SMALL(IF("Página Web"='03.Muestra'!$D$8:$D$42,ROW('03.Muestra'!$F$8:$F$42)-MIN(ROW('03.Muestra'!$D$8:$D$42))+1,""),ROW()-1310)),"")</f>
        <v>https://www.bocm.es/autentificacion-verificacion</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Inicio/que-es-bocm</v>
      </c>
      <c r="C1314" s="85" t="str" cm="1">
        <f t="array" ref="C1314">IFERROR(INDEX('03.Muestra'!$F$8:$F$42,SMALL(IF("Página Web"='03.Muestra'!$D$8:$D$42,ROW('03.Muestra'!$F$8:$F$42)-MIN(ROW('03.Muestra'!$D$8:$D$42))+1,""),ROW()-1310)),"")</f>
        <v>https://www.bocm.es/que-es-bocm</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Inicio/organismo-autonomo</v>
      </c>
      <c r="C1315" s="85" t="str" cm="1">
        <f t="array" ref="C1315">IFERROR(INDEX('03.Muestra'!$F$8:$F$42,SMALL(IF("Página Web"='03.Muestra'!$D$8:$D$42,ROW('03.Muestra'!$F$8:$F$42)-MIN(ROW('03.Muestra'!$D$8:$D$42))+1,""),ROW()-1310)),"")</f>
        <v>https://www.bocm.es/organismo-autonomo</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Inicio/s/publicar-anuncio</v>
      </c>
      <c r="C1316" s="85" t="str" cm="1">
        <f t="array" ref="C1316">IFERROR(INDEX('03.Muestra'!$F$8:$F$42,SMALL(IF("Página Web"='03.Muestra'!$D$8:$D$42,ROW('03.Muestra'!$F$8:$F$42)-MIN(ROW('03.Muestra'!$D$8:$D$42))+1,""),ROW()-1310)),"")</f>
        <v>https://www.bocm.es/publicar-anuncio</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Inicio/declaracion-de-accesibilidad</v>
      </c>
      <c r="C1317" s="85" t="str" cm="1">
        <f t="array" ref="C1317">IFERROR(INDEX('03.Muestra'!$F$8:$F$42,SMALL(IF("Página Web"='03.Muestra'!$D$8:$D$42,ROW('03.Muestra'!$F$8:$F$42)-MIN(ROW('03.Muestra'!$D$8:$D$42))+1,""),ROW()-1310)),"")</f>
        <v>https://www.bocm.es/declaracion-de-accesibilidad</v>
      </c>
      <c r="D1317" s="99" t="s">
        <v>92</v>
      </c>
      <c r="E1317" s="79" t="str">
        <f t="shared" si="68"/>
        <v/>
      </c>
      <c r="F1317" s="18"/>
      <c r="G1317" s="18"/>
      <c r="H1317" s="18"/>
      <c r="I1317" s="18"/>
      <c r="J1317" s="18"/>
      <c r="K1317" s="184"/>
      <c r="L1317" s="18"/>
    </row>
    <row r="1318" spans="1:12" ht="12" customHeight="1">
      <c r="A1318" s="39" t="str" cm="1">
        <f t="array" ref="A1318">IFERROR(INDEX('03.Muestra'!$B$8:$B$42,SMALL(IF("Página Web"='03.Muestra'!$D$8:$D$42,ROW('03.Muestra'!$B$8:$B$42)-MIN(ROW('03.Muestra'!$D$8:$D$42))+1,""),ROW()-1310)),"")</f>
        <v/>
      </c>
      <c r="B1318" s="85" t="str" cm="1">
        <f t="array" ref="B1318">IFERROR(INDEX('03.Muestra'!$C$8:$C$42,SMALL(IF("Página Web"='03.Muestra'!$D$8:$D$42,ROW('03.Muestra'!$C$8:$C$42)-MIN(ROW('03.Muestra'!$D$8:$D$42))+1,""),ROW()-1310)),"")</f>
        <v/>
      </c>
      <c r="C1318" s="85" t="str" cm="1">
        <f t="array" ref="C1318">IFERROR(INDEX('03.Muestra'!$F$8:$F$42,SMALL(IF("Página Web"='03.Muestra'!$D$8:$D$42,ROW('03.Muestra'!$F$8:$F$42)-MIN(ROW('03.Muestra'!$D$8:$D$42))+1,""),ROW()-1310)),"")</f>
        <v/>
      </c>
      <c r="D1318" s="99" t="str">
        <f t="shared" ref="D1318:D1345" si="69">IF(AND(B1318&lt;&gt;"",C1318&lt;&gt;""),"N/T","")</f>
        <v/>
      </c>
      <c r="E1318" s="79" t="str">
        <f t="shared" si="68"/>
        <v/>
      </c>
      <c r="F1318" s="18"/>
      <c r="G1318" s="18"/>
      <c r="H1318" s="18"/>
      <c r="I1318" s="18"/>
      <c r="J1318" s="18"/>
      <c r="K1318" s="184"/>
      <c r="L1318" s="18"/>
    </row>
    <row r="1319" spans="1:12" ht="12" customHeight="1">
      <c r="A1319" s="39" t="str" cm="1">
        <f t="array" ref="A1319">IFERROR(INDEX('03.Muestra'!$B$8:$B$42,SMALL(IF("Página Web"='03.Muestra'!$D$8:$D$42,ROW('03.Muestra'!$B$8:$B$42)-MIN(ROW('03.Muestra'!$D$8:$D$42))+1,""),ROW()-1310)),"")</f>
        <v/>
      </c>
      <c r="B1319" s="85" t="str" cm="1">
        <f t="array" ref="B1319">IFERROR(INDEX('03.Muestra'!$C$8:$C$42,SMALL(IF("Página Web"='03.Muestra'!$D$8:$D$42,ROW('03.Muestra'!$C$8:$C$42)-MIN(ROW('03.Muestra'!$D$8:$D$42))+1,""),ROW()-1310)),"")</f>
        <v/>
      </c>
      <c r="C1319" s="85" t="str" cm="1">
        <f t="array" ref="C1319">IFERROR(INDEX('03.Muestra'!$F$8:$F$42,SMALL(IF("Página Web"='03.Muestra'!$D$8:$D$42,ROW('03.Muestra'!$F$8:$F$42)-MIN(ROW('03.Muestra'!$D$8:$D$42))+1,""),ROW()-1310)),"")</f>
        <v/>
      </c>
      <c r="D1319" s="99" t="str">
        <f t="shared" si="69"/>
        <v/>
      </c>
      <c r="E1319" s="79" t="str">
        <f t="shared" si="68"/>
        <v/>
      </c>
      <c r="F1319" s="18"/>
      <c r="G1319" s="18"/>
      <c r="H1319" s="18"/>
      <c r="I1319" s="18"/>
      <c r="J1319" s="18"/>
      <c r="K1319" s="184"/>
      <c r="L1319" s="18"/>
    </row>
    <row r="1320" spans="1:12" ht="12" customHeight="1">
      <c r="A1320" s="39" t="str" cm="1">
        <f t="array" ref="A1320">IFERROR(INDEX('03.Muestra'!$B$8:$B$42,SMALL(IF("Página Web"='03.Muestra'!$D$8:$D$42,ROW('03.Muestra'!$B$8:$B$42)-MIN(ROW('03.Muestra'!$D$8:$D$42))+1,""),ROW()-1310)),"")</f>
        <v/>
      </c>
      <c r="B1320" s="85" t="str" cm="1">
        <f t="array" ref="B1320">IFERROR(INDEX('03.Muestra'!$C$8:$C$42,SMALL(IF("Página Web"='03.Muestra'!$D$8:$D$42,ROW('03.Muestra'!$C$8:$C$42)-MIN(ROW('03.Muestra'!$D$8:$D$42))+1,""),ROW()-1310)),"")</f>
        <v/>
      </c>
      <c r="C1320" s="85" t="str" cm="1">
        <f t="array" ref="C1320">IFERROR(INDEX('03.Muestra'!$F$8:$F$42,SMALL(IF("Página Web"='03.Muestra'!$D$8:$D$42,ROW('03.Muestra'!$F$8:$F$42)-MIN(ROW('03.Muestra'!$D$8:$D$42))+1,""),ROW()-1310)),"")</f>
        <v/>
      </c>
      <c r="D1320" s="99" t="str">
        <f t="shared" si="69"/>
        <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si="69"/>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https://www.bocm.es/</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Inicio/ultimo-bocm</v>
      </c>
      <c r="C1350" s="85" t="str" cm="1">
        <f t="array" ref="C1350">IFERROR(INDEX('03.Muestra'!$F$8:$F$42,SMALL(IF("Página Web"='03.Muestra'!$D$8:$D$42,ROW('03.Muestra'!$F$8:$F$42)-MIN(ROW('03.Muestra'!$D$8:$D$42))+1,""),ROW()-1348)),"")</f>
        <v>https://www.bocm.es/ultimo-bocm</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7</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Inicio/autentificacion-verificacion</v>
      </c>
      <c r="C1351" s="85" t="str" cm="1">
        <f t="array" ref="C1351">IFERROR(INDEX('03.Muestra'!$F$8:$F$42,SMALL(IF("Página Web"='03.Muestra'!$D$8:$D$42,ROW('03.Muestra'!$F$8:$F$42)-MIN(ROW('03.Muestra'!$D$8:$D$42))+1,""),ROW()-1348)),"")</f>
        <v>https://www.bocm.es/autentificacion-verificacion</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Inicio/que-es-bocm</v>
      </c>
      <c r="C1352" s="85" t="str" cm="1">
        <f t="array" ref="C1352">IFERROR(INDEX('03.Muestra'!$F$8:$F$42,SMALL(IF("Página Web"='03.Muestra'!$D$8:$D$42,ROW('03.Muestra'!$F$8:$F$42)-MIN(ROW('03.Muestra'!$D$8:$D$42))+1,""),ROW()-1348)),"")</f>
        <v>https://www.bocm.es/que-es-bocm</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Inicio/organismo-autonomo</v>
      </c>
      <c r="C1353" s="85" t="str" cm="1">
        <f t="array" ref="C1353">IFERROR(INDEX('03.Muestra'!$F$8:$F$42,SMALL(IF("Página Web"='03.Muestra'!$D$8:$D$42,ROW('03.Muestra'!$F$8:$F$42)-MIN(ROW('03.Muestra'!$D$8:$D$42))+1,""),ROW()-1348)),"")</f>
        <v>https://www.bocm.es/organismo-autonomo</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Inicio/s/publicar-anuncio</v>
      </c>
      <c r="C1354" s="85" t="str" cm="1">
        <f t="array" ref="C1354">IFERROR(INDEX('03.Muestra'!$F$8:$F$42,SMALL(IF("Página Web"='03.Muestra'!$D$8:$D$42,ROW('03.Muestra'!$F$8:$F$42)-MIN(ROW('03.Muestra'!$D$8:$D$42))+1,""),ROW()-1348)),"")</f>
        <v>https://www.bocm.es/publicar-anuncio</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Inicio/declaracion-de-accesibilidad</v>
      </c>
      <c r="C1355" s="85" t="str" cm="1">
        <f t="array" ref="C1355">IFERROR(INDEX('03.Muestra'!$F$8:$F$42,SMALL(IF("Página Web"='03.Muestra'!$D$8:$D$42,ROW('03.Muestra'!$F$8:$F$42)-MIN(ROW('03.Muestra'!$D$8:$D$42))+1,""),ROW()-1348)),"")</f>
        <v>https://www.bocm.es/declaracion-de-accesibilidad</v>
      </c>
      <c r="D1355" s="99" t="s">
        <v>104</v>
      </c>
      <c r="E1355" s="79" t="str">
        <f t="shared" si="70"/>
        <v/>
      </c>
      <c r="F1355" s="18"/>
      <c r="G1355" s="18"/>
      <c r="H1355" s="18"/>
      <c r="I1355" s="18"/>
      <c r="J1355" s="18"/>
      <c r="K1355" s="184"/>
      <c r="L1355" s="18"/>
    </row>
    <row r="1356" spans="1:12" ht="12" customHeight="1">
      <c r="A1356" s="39" t="str" cm="1">
        <f t="array" ref="A1356">IFERROR(INDEX('03.Muestra'!$B$8:$B$42,SMALL(IF("Página Web"='03.Muestra'!$D$8:$D$42,ROW('03.Muestra'!$B$8:$B$42)-MIN(ROW('03.Muestra'!$D$8:$D$42))+1,""),ROW()-1348)),"")</f>
        <v/>
      </c>
      <c r="B1356" s="85" t="str" cm="1">
        <f t="array" ref="B1356">IFERROR(INDEX('03.Muestra'!$C$8:$C$42,SMALL(IF("Página Web"='03.Muestra'!$D$8:$D$42,ROW('03.Muestra'!$C$8:$C$42)-MIN(ROW('03.Muestra'!$D$8:$D$42))+1,""),ROW()-1348)),"")</f>
        <v/>
      </c>
      <c r="C1356" s="85" t="str" cm="1">
        <f t="array" ref="C1356">IFERROR(INDEX('03.Muestra'!$F$8:$F$42,SMALL(IF("Página Web"='03.Muestra'!$D$8:$D$42,ROW('03.Muestra'!$F$8:$F$42)-MIN(ROW('03.Muestra'!$D$8:$D$42))+1,""),ROW()-1348)),"")</f>
        <v/>
      </c>
      <c r="D1356" s="99" t="str">
        <f t="shared" ref="D1356:D1383" si="71">IF(AND(B1356&lt;&gt;"",C1356&lt;&gt;""),"N/T","")</f>
        <v/>
      </c>
      <c r="E1356" s="79" t="str">
        <f t="shared" si="70"/>
        <v/>
      </c>
      <c r="F1356" s="18"/>
      <c r="G1356" s="18"/>
      <c r="H1356" s="18"/>
      <c r="I1356" s="18"/>
      <c r="J1356" s="18"/>
      <c r="K1356" s="184"/>
      <c r="L1356" s="18"/>
    </row>
    <row r="1357" spans="1:12" ht="12" customHeight="1">
      <c r="A1357" s="39" t="str" cm="1">
        <f t="array" ref="A1357">IFERROR(INDEX('03.Muestra'!$B$8:$B$42,SMALL(IF("Página Web"='03.Muestra'!$D$8:$D$42,ROW('03.Muestra'!$B$8:$B$42)-MIN(ROW('03.Muestra'!$D$8:$D$42))+1,""),ROW()-1348)),"")</f>
        <v/>
      </c>
      <c r="B1357" s="85" t="str" cm="1">
        <f t="array" ref="B1357">IFERROR(INDEX('03.Muestra'!$C$8:$C$42,SMALL(IF("Página Web"='03.Muestra'!$D$8:$D$42,ROW('03.Muestra'!$C$8:$C$42)-MIN(ROW('03.Muestra'!$D$8:$D$42))+1,""),ROW()-1348)),"")</f>
        <v/>
      </c>
      <c r="C1357" s="85" t="str" cm="1">
        <f t="array" ref="C1357">IFERROR(INDEX('03.Muestra'!$F$8:$F$42,SMALL(IF("Página Web"='03.Muestra'!$D$8:$D$42,ROW('03.Muestra'!$F$8:$F$42)-MIN(ROW('03.Muestra'!$D$8:$D$42))+1,""),ROW()-1348)),"")</f>
        <v/>
      </c>
      <c r="D1357" s="99" t="str">
        <f t="shared" si="71"/>
        <v/>
      </c>
      <c r="E1357" s="79" t="str">
        <f t="shared" si="70"/>
        <v/>
      </c>
      <c r="F1357" s="18"/>
      <c r="G1357" s="18"/>
      <c r="H1357" s="18"/>
      <c r="I1357" s="18"/>
      <c r="J1357" s="18"/>
      <c r="K1357" s="184"/>
      <c r="L1357" s="18"/>
    </row>
    <row r="1358" spans="1:12" ht="12" customHeight="1">
      <c r="A1358" s="39" t="str" cm="1">
        <f t="array" ref="A1358">IFERROR(INDEX('03.Muestra'!$B$8:$B$42,SMALL(IF("Página Web"='03.Muestra'!$D$8:$D$42,ROW('03.Muestra'!$B$8:$B$42)-MIN(ROW('03.Muestra'!$D$8:$D$42))+1,""),ROW()-1348)),"")</f>
        <v/>
      </c>
      <c r="B1358" s="85" t="str" cm="1">
        <f t="array" ref="B1358">IFERROR(INDEX('03.Muestra'!$C$8:$C$42,SMALL(IF("Página Web"='03.Muestra'!$D$8:$D$42,ROW('03.Muestra'!$C$8:$C$42)-MIN(ROW('03.Muestra'!$D$8:$D$42))+1,""),ROW()-1348)),"")</f>
        <v/>
      </c>
      <c r="C1358" s="85" t="str" cm="1">
        <f t="array" ref="C1358">IFERROR(INDEX('03.Muestra'!$F$8:$F$42,SMALL(IF("Página Web"='03.Muestra'!$D$8:$D$42,ROW('03.Muestra'!$F$8:$F$42)-MIN(ROW('03.Muestra'!$D$8:$D$42))+1,""),ROW()-1348)),"")</f>
        <v/>
      </c>
      <c r="D1358" s="99" t="str">
        <f t="shared" si="71"/>
        <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si="71"/>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https://www.bocm.es/</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Inicio/ultimo-bocm</v>
      </c>
      <c r="C1388" s="85" t="str" cm="1">
        <f t="array" ref="C1388">IFERROR(INDEX('03.Muestra'!$F$8:$F$42,SMALL(IF("Página Web"='03.Muestra'!$D$8:$D$42,ROW('03.Muestra'!$F$8:$F$42)-MIN(ROW('03.Muestra'!$D$8:$D$42))+1,""),ROW()-1386)),"")</f>
        <v>https://www.bocm.es/ultimo-bocm</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7</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Inicio/autentificacion-verificacion</v>
      </c>
      <c r="C1389" s="85" t="str" cm="1">
        <f t="array" ref="C1389">IFERROR(INDEX('03.Muestra'!$F$8:$F$42,SMALL(IF("Página Web"='03.Muestra'!$D$8:$D$42,ROW('03.Muestra'!$F$8:$F$42)-MIN(ROW('03.Muestra'!$D$8:$D$42))+1,""),ROW()-1386)),"")</f>
        <v>https://www.bocm.es/autentificacion-verificacion</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Inicio/que-es-bocm</v>
      </c>
      <c r="C1390" s="85" t="str" cm="1">
        <f t="array" ref="C1390">IFERROR(INDEX('03.Muestra'!$F$8:$F$42,SMALL(IF("Página Web"='03.Muestra'!$D$8:$D$42,ROW('03.Muestra'!$F$8:$F$42)-MIN(ROW('03.Muestra'!$D$8:$D$42))+1,""),ROW()-1386)),"")</f>
        <v>https://www.bocm.es/que-es-bocm</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Inicio/organismo-autonomo</v>
      </c>
      <c r="C1391" s="85" t="str" cm="1">
        <f t="array" ref="C1391">IFERROR(INDEX('03.Muestra'!$F$8:$F$42,SMALL(IF("Página Web"='03.Muestra'!$D$8:$D$42,ROW('03.Muestra'!$F$8:$F$42)-MIN(ROW('03.Muestra'!$D$8:$D$42))+1,""),ROW()-1386)),"")</f>
        <v>https://www.bocm.es/organismo-autonomo</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Inicio/s/publicar-anuncio</v>
      </c>
      <c r="C1392" s="85" t="str" cm="1">
        <f t="array" ref="C1392">IFERROR(INDEX('03.Muestra'!$F$8:$F$42,SMALL(IF("Página Web"='03.Muestra'!$D$8:$D$42,ROW('03.Muestra'!$F$8:$F$42)-MIN(ROW('03.Muestra'!$D$8:$D$42))+1,""),ROW()-1386)),"")</f>
        <v>https://www.bocm.es/publicar-anuncio</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Inicio/declaracion-de-accesibilidad</v>
      </c>
      <c r="C1393" s="85" t="str" cm="1">
        <f t="array" ref="C1393">IFERROR(INDEX('03.Muestra'!$F$8:$F$42,SMALL(IF("Página Web"='03.Muestra'!$D$8:$D$42,ROW('03.Muestra'!$F$8:$F$42)-MIN(ROW('03.Muestra'!$D$8:$D$42))+1,""),ROW()-1386)),"")</f>
        <v>https://www.bocm.es/declaracion-de-accesibilidad</v>
      </c>
      <c r="D1393" s="99" t="s">
        <v>92</v>
      </c>
      <c r="E1393" s="79" t="str">
        <f t="shared" si="72"/>
        <v/>
      </c>
      <c r="F1393" s="18"/>
      <c r="G1393" s="18"/>
      <c r="H1393" s="18"/>
      <c r="I1393" s="18"/>
      <c r="K1393" s="185"/>
      <c r="L1393" s="18"/>
    </row>
    <row r="1394" spans="1:12" ht="12" customHeight="1">
      <c r="A1394" s="39" t="str" cm="1">
        <f t="array" ref="A1394">IFERROR(INDEX('03.Muestra'!$B$8:$B$42,SMALL(IF("Página Web"='03.Muestra'!$D$8:$D$42,ROW('03.Muestra'!$B$8:$B$42)-MIN(ROW('03.Muestra'!$D$8:$D$42))+1,""),ROW()-1386)),"")</f>
        <v/>
      </c>
      <c r="B1394" s="85" t="str" cm="1">
        <f t="array" ref="B1394">IFERROR(INDEX('03.Muestra'!$C$8:$C$42,SMALL(IF("Página Web"='03.Muestra'!$D$8:$D$42,ROW('03.Muestra'!$C$8:$C$42)-MIN(ROW('03.Muestra'!$D$8:$D$42))+1,""),ROW()-1386)),"")</f>
        <v/>
      </c>
      <c r="C1394" s="85" t="str" cm="1">
        <f t="array" ref="C1394">IFERROR(INDEX('03.Muestra'!$F$8:$F$42,SMALL(IF("Página Web"='03.Muestra'!$D$8:$D$42,ROW('03.Muestra'!$F$8:$F$42)-MIN(ROW('03.Muestra'!$D$8:$D$42))+1,""),ROW()-1386)),"")</f>
        <v/>
      </c>
      <c r="D1394" s="99" t="str">
        <f t="shared" ref="D1394:D1421" si="73">IF(AND(B1394&lt;&gt;"",C1394&lt;&gt;""),"N/T","")</f>
        <v/>
      </c>
      <c r="E1394" s="79" t="str">
        <f t="shared" si="72"/>
        <v/>
      </c>
      <c r="F1394" s="18"/>
      <c r="G1394" s="18"/>
      <c r="H1394" s="18"/>
      <c r="I1394" s="18"/>
      <c r="J1394" s="18"/>
      <c r="K1394" s="184"/>
      <c r="L1394" s="18"/>
    </row>
    <row r="1395" spans="1:12" ht="12" customHeight="1">
      <c r="A1395" s="39" t="str" cm="1">
        <f t="array" ref="A1395">IFERROR(INDEX('03.Muestra'!$B$8:$B$42,SMALL(IF("Página Web"='03.Muestra'!$D$8:$D$42,ROW('03.Muestra'!$B$8:$B$42)-MIN(ROW('03.Muestra'!$D$8:$D$42))+1,""),ROW()-1386)),"")</f>
        <v/>
      </c>
      <c r="B1395" s="85" t="str" cm="1">
        <f t="array" ref="B1395">IFERROR(INDEX('03.Muestra'!$C$8:$C$42,SMALL(IF("Página Web"='03.Muestra'!$D$8:$D$42,ROW('03.Muestra'!$C$8:$C$42)-MIN(ROW('03.Muestra'!$D$8:$D$42))+1,""),ROW()-1386)),"")</f>
        <v/>
      </c>
      <c r="C1395" s="85" t="str" cm="1">
        <f t="array" ref="C1395">IFERROR(INDEX('03.Muestra'!$F$8:$F$42,SMALL(IF("Página Web"='03.Muestra'!$D$8:$D$42,ROW('03.Muestra'!$F$8:$F$42)-MIN(ROW('03.Muestra'!$D$8:$D$42))+1,""),ROW()-1386)),"")</f>
        <v/>
      </c>
      <c r="D1395" s="99" t="str">
        <f t="shared" si="73"/>
        <v/>
      </c>
      <c r="E1395" s="79" t="str">
        <f t="shared" si="72"/>
        <v/>
      </c>
      <c r="F1395" s="18"/>
      <c r="G1395" s="18"/>
      <c r="H1395" s="18"/>
      <c r="I1395" s="18"/>
      <c r="J1395" s="18"/>
      <c r="K1395" s="184"/>
      <c r="L1395" s="18"/>
    </row>
    <row r="1396" spans="1:12" ht="12" customHeight="1">
      <c r="A1396" s="39" t="str" cm="1">
        <f t="array" ref="A1396">IFERROR(INDEX('03.Muestra'!$B$8:$B$42,SMALL(IF("Página Web"='03.Muestra'!$D$8:$D$42,ROW('03.Muestra'!$B$8:$B$42)-MIN(ROW('03.Muestra'!$D$8:$D$42))+1,""),ROW()-1386)),"")</f>
        <v/>
      </c>
      <c r="B1396" s="85" t="str" cm="1">
        <f t="array" ref="B1396">IFERROR(INDEX('03.Muestra'!$C$8:$C$42,SMALL(IF("Página Web"='03.Muestra'!$D$8:$D$42,ROW('03.Muestra'!$C$8:$C$42)-MIN(ROW('03.Muestra'!$D$8:$D$42))+1,""),ROW()-1386)),"")</f>
        <v/>
      </c>
      <c r="C1396" s="85" t="str" cm="1">
        <f t="array" ref="C1396">IFERROR(INDEX('03.Muestra'!$F$8:$F$42,SMALL(IF("Página Web"='03.Muestra'!$D$8:$D$42,ROW('03.Muestra'!$F$8:$F$42)-MIN(ROW('03.Muestra'!$D$8:$D$42))+1,""),ROW()-1386)),"")</f>
        <v/>
      </c>
      <c r="D1396" s="99" t="str">
        <f t="shared" si="73"/>
        <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si="73"/>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https://www.bocm.es/</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Inicio/ultimo-bocm</v>
      </c>
      <c r="C1426" s="85" t="str" cm="1">
        <f t="array" ref="C1426">IFERROR(INDEX('03.Muestra'!$F$8:$F$42,SMALL(IF("Página Web"='03.Muestra'!$D$8:$D$42,ROW('03.Muestra'!$F$8:$F$42)-MIN(ROW('03.Muestra'!$D$8:$D$42))+1,""),ROW()-1424)),"")</f>
        <v>https://www.bocm.es/ultimo-bocm</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7</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Inicio/autentificacion-verificacion</v>
      </c>
      <c r="C1427" s="85" t="str" cm="1">
        <f t="array" ref="C1427">IFERROR(INDEX('03.Muestra'!$F$8:$F$42,SMALL(IF("Página Web"='03.Muestra'!$D$8:$D$42,ROW('03.Muestra'!$F$8:$F$42)-MIN(ROW('03.Muestra'!$D$8:$D$42))+1,""),ROW()-1424)),"")</f>
        <v>https://www.bocm.es/autentificacion-verificacion</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Inicio/que-es-bocm</v>
      </c>
      <c r="C1428" s="85" t="str" cm="1">
        <f t="array" ref="C1428">IFERROR(INDEX('03.Muestra'!$F$8:$F$42,SMALL(IF("Página Web"='03.Muestra'!$D$8:$D$42,ROW('03.Muestra'!$F$8:$F$42)-MIN(ROW('03.Muestra'!$D$8:$D$42))+1,""),ROW()-1424)),"")</f>
        <v>https://www.bocm.es/que-es-bocm</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Inicio/organismo-autonomo</v>
      </c>
      <c r="C1429" s="85" t="str" cm="1">
        <f t="array" ref="C1429">IFERROR(INDEX('03.Muestra'!$F$8:$F$42,SMALL(IF("Página Web"='03.Muestra'!$D$8:$D$42,ROW('03.Muestra'!$F$8:$F$42)-MIN(ROW('03.Muestra'!$D$8:$D$42))+1,""),ROW()-1424)),"")</f>
        <v>https://www.bocm.es/organismo-autonomo</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Inicio/s/publicar-anuncio</v>
      </c>
      <c r="C1430" s="85" t="str" cm="1">
        <f t="array" ref="C1430">IFERROR(INDEX('03.Muestra'!$F$8:$F$42,SMALL(IF("Página Web"='03.Muestra'!$D$8:$D$42,ROW('03.Muestra'!$F$8:$F$42)-MIN(ROW('03.Muestra'!$D$8:$D$42))+1,""),ROW()-1424)),"")</f>
        <v>https://www.bocm.es/publicar-anuncio</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Inicio/declaracion-de-accesibilidad</v>
      </c>
      <c r="C1431" s="85" t="str" cm="1">
        <f t="array" ref="C1431">IFERROR(INDEX('03.Muestra'!$F$8:$F$42,SMALL(IF("Página Web"='03.Muestra'!$D$8:$D$42,ROW('03.Muestra'!$F$8:$F$42)-MIN(ROW('03.Muestra'!$D$8:$D$42))+1,""),ROW()-1424)),"")</f>
        <v>https://www.bocm.es/declaracion-de-accesibilidad</v>
      </c>
      <c r="D1431" s="99" t="s">
        <v>104</v>
      </c>
      <c r="E1431" s="79" t="str">
        <f t="shared" si="74"/>
        <v/>
      </c>
      <c r="F1431" s="18"/>
      <c r="G1431" s="18"/>
      <c r="H1431" s="18"/>
      <c r="I1431" s="18"/>
      <c r="J1431" s="18"/>
      <c r="K1431" s="184"/>
      <c r="L1431" s="18"/>
    </row>
    <row r="1432" spans="1:12" ht="12" customHeight="1">
      <c r="A1432" s="39" t="str" cm="1">
        <f t="array" ref="A1432">IFERROR(INDEX('03.Muestra'!$B$8:$B$42,SMALL(IF("Página Web"='03.Muestra'!$D$8:$D$42,ROW('03.Muestra'!$B$8:$B$42)-MIN(ROW('03.Muestra'!$D$8:$D$42))+1,""),ROW()-1424)),"")</f>
        <v/>
      </c>
      <c r="B1432" s="85" t="str" cm="1">
        <f t="array" ref="B1432">IFERROR(INDEX('03.Muestra'!$C$8:$C$42,SMALL(IF("Página Web"='03.Muestra'!$D$8:$D$42,ROW('03.Muestra'!$C$8:$C$42)-MIN(ROW('03.Muestra'!$D$8:$D$42))+1,""),ROW()-1424)),"")</f>
        <v/>
      </c>
      <c r="C1432" s="85" t="str" cm="1">
        <f t="array" ref="C1432">IFERROR(INDEX('03.Muestra'!$F$8:$F$42,SMALL(IF("Página Web"='03.Muestra'!$D$8:$D$42,ROW('03.Muestra'!$F$8:$F$42)-MIN(ROW('03.Muestra'!$D$8:$D$42))+1,""),ROW()-1424)),"")</f>
        <v/>
      </c>
      <c r="D1432" s="99" t="str">
        <f t="shared" ref="D1432:D1459" si="75">IF(AND(B1432&lt;&gt;"",C1432&lt;&gt;""),"N/T","")</f>
        <v/>
      </c>
      <c r="E1432" s="79" t="str">
        <f t="shared" si="74"/>
        <v/>
      </c>
      <c r="F1432" s="18"/>
      <c r="G1432" s="18"/>
      <c r="H1432" s="18"/>
      <c r="I1432" s="18"/>
      <c r="J1432" s="18"/>
      <c r="K1432" s="184"/>
      <c r="L1432" s="18"/>
    </row>
    <row r="1433" spans="1:12" ht="12" customHeight="1">
      <c r="A1433" s="39" t="str" cm="1">
        <f t="array" ref="A1433">IFERROR(INDEX('03.Muestra'!$B$8:$B$42,SMALL(IF("Página Web"='03.Muestra'!$D$8:$D$42,ROW('03.Muestra'!$B$8:$B$42)-MIN(ROW('03.Muestra'!$D$8:$D$42))+1,""),ROW()-1424)),"")</f>
        <v/>
      </c>
      <c r="B1433" s="85" t="str" cm="1">
        <f t="array" ref="B1433">IFERROR(INDEX('03.Muestra'!$C$8:$C$42,SMALL(IF("Página Web"='03.Muestra'!$D$8:$D$42,ROW('03.Muestra'!$C$8:$C$42)-MIN(ROW('03.Muestra'!$D$8:$D$42))+1,""),ROW()-1424)),"")</f>
        <v/>
      </c>
      <c r="C1433" s="85" t="str" cm="1">
        <f t="array" ref="C1433">IFERROR(INDEX('03.Muestra'!$F$8:$F$42,SMALL(IF("Página Web"='03.Muestra'!$D$8:$D$42,ROW('03.Muestra'!$F$8:$F$42)-MIN(ROW('03.Muestra'!$D$8:$D$42))+1,""),ROW()-1424)),"")</f>
        <v/>
      </c>
      <c r="D1433" s="99" t="str">
        <f t="shared" si="75"/>
        <v/>
      </c>
      <c r="E1433" s="79" t="str">
        <f t="shared" si="74"/>
        <v/>
      </c>
      <c r="F1433" s="18"/>
      <c r="G1433" s="18"/>
      <c r="H1433" s="18"/>
      <c r="I1433" s="18"/>
      <c r="J1433" s="18"/>
      <c r="K1433" s="184"/>
      <c r="L1433" s="18"/>
    </row>
    <row r="1434" spans="1:12" ht="12" customHeight="1">
      <c r="A1434" s="39" t="str" cm="1">
        <f t="array" ref="A1434">IFERROR(INDEX('03.Muestra'!$B$8:$B$42,SMALL(IF("Página Web"='03.Muestra'!$D$8:$D$42,ROW('03.Muestra'!$B$8:$B$42)-MIN(ROW('03.Muestra'!$D$8:$D$42))+1,""),ROW()-1424)),"")</f>
        <v/>
      </c>
      <c r="B1434" s="85" t="str" cm="1">
        <f t="array" ref="B1434">IFERROR(INDEX('03.Muestra'!$C$8:$C$42,SMALL(IF("Página Web"='03.Muestra'!$D$8:$D$42,ROW('03.Muestra'!$C$8:$C$42)-MIN(ROW('03.Muestra'!$D$8:$D$42))+1,""),ROW()-1424)),"")</f>
        <v/>
      </c>
      <c r="C1434" s="85" t="str" cm="1">
        <f t="array" ref="C1434">IFERROR(INDEX('03.Muestra'!$F$8:$F$42,SMALL(IF("Página Web"='03.Muestra'!$D$8:$D$42,ROW('03.Muestra'!$F$8:$F$42)-MIN(ROW('03.Muestra'!$D$8:$D$42))+1,""),ROW()-1424)),"")</f>
        <v/>
      </c>
      <c r="D1434" s="99" t="str">
        <f t="shared" si="75"/>
        <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si="75"/>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https://www.bocm.es/</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Inicio/ultimo-bocm</v>
      </c>
      <c r="C1464" s="85" t="str" cm="1">
        <f t="array" ref="C1464">IFERROR(INDEX('03.Muestra'!$F$8:$F$42,SMALL(IF("Página Web"='03.Muestra'!$D$8:$D$42,ROW('03.Muestra'!$F$8:$F$42)-MIN(ROW('03.Muestra'!$D$8:$D$42))+1,""),ROW()-1462)),"")</f>
        <v>https://www.bocm.es/ultimo-bocm</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7</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Inicio/autentificacion-verificacion</v>
      </c>
      <c r="C1465" s="85" t="str" cm="1">
        <f t="array" ref="C1465">IFERROR(INDEX('03.Muestra'!$F$8:$F$42,SMALL(IF("Página Web"='03.Muestra'!$D$8:$D$42,ROW('03.Muestra'!$F$8:$F$42)-MIN(ROW('03.Muestra'!$D$8:$D$42))+1,""),ROW()-1462)),"")</f>
        <v>https://www.bocm.es/autentificacion-verificacion</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Inicio/que-es-bocm</v>
      </c>
      <c r="C1466" s="85" t="str" cm="1">
        <f t="array" ref="C1466">IFERROR(INDEX('03.Muestra'!$F$8:$F$42,SMALL(IF("Página Web"='03.Muestra'!$D$8:$D$42,ROW('03.Muestra'!$F$8:$F$42)-MIN(ROW('03.Muestra'!$D$8:$D$42))+1,""),ROW()-1462)),"")</f>
        <v>https://www.bocm.es/que-es-bocm</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Inicio/organismo-autonomo</v>
      </c>
      <c r="C1467" s="85" t="str" cm="1">
        <f t="array" ref="C1467">IFERROR(INDEX('03.Muestra'!$F$8:$F$42,SMALL(IF("Página Web"='03.Muestra'!$D$8:$D$42,ROW('03.Muestra'!$F$8:$F$42)-MIN(ROW('03.Muestra'!$D$8:$D$42))+1,""),ROW()-1462)),"")</f>
        <v>https://www.bocm.es/organismo-autonomo</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Inicio/s/publicar-anuncio</v>
      </c>
      <c r="C1468" s="85" t="str" cm="1">
        <f t="array" ref="C1468">IFERROR(INDEX('03.Muestra'!$F$8:$F$42,SMALL(IF("Página Web"='03.Muestra'!$D$8:$D$42,ROW('03.Muestra'!$F$8:$F$42)-MIN(ROW('03.Muestra'!$D$8:$D$42))+1,""),ROW()-1462)),"")</f>
        <v>https://www.bocm.es/publicar-anuncio</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Inicio/declaracion-de-accesibilidad</v>
      </c>
      <c r="C1469" s="85" t="str" cm="1">
        <f t="array" ref="C1469">IFERROR(INDEX('03.Muestra'!$F$8:$F$42,SMALL(IF("Página Web"='03.Muestra'!$D$8:$D$42,ROW('03.Muestra'!$F$8:$F$42)-MIN(ROW('03.Muestra'!$D$8:$D$42))+1,""),ROW()-1462)),"")</f>
        <v>https://www.bocm.es/declaracion-de-accesibilidad</v>
      </c>
      <c r="D1469" s="99" t="s">
        <v>92</v>
      </c>
      <c r="E1469" s="79" t="str">
        <f t="shared" si="76"/>
        <v/>
      </c>
      <c r="F1469" s="18"/>
      <c r="G1469" s="18"/>
      <c r="H1469" s="18"/>
      <c r="I1469" s="18"/>
      <c r="J1469" s="18"/>
      <c r="K1469" s="184"/>
      <c r="L1469" s="18"/>
    </row>
    <row r="1470" spans="1:12" ht="12" customHeight="1">
      <c r="A1470" s="39" t="str" cm="1">
        <f t="array" ref="A1470">IFERROR(INDEX('03.Muestra'!$B$8:$B$42,SMALL(IF("Página Web"='03.Muestra'!$D$8:$D$42,ROW('03.Muestra'!$B$8:$B$42)-MIN(ROW('03.Muestra'!$D$8:$D$42))+1,""),ROW()-1462)),"")</f>
        <v/>
      </c>
      <c r="B1470" s="85" t="str" cm="1">
        <f t="array" ref="B1470">IFERROR(INDEX('03.Muestra'!$C$8:$C$42,SMALL(IF("Página Web"='03.Muestra'!$D$8:$D$42,ROW('03.Muestra'!$C$8:$C$42)-MIN(ROW('03.Muestra'!$D$8:$D$42))+1,""),ROW()-1462)),"")</f>
        <v/>
      </c>
      <c r="C1470" s="85" t="str" cm="1">
        <f t="array" ref="C1470">IFERROR(INDEX('03.Muestra'!$F$8:$F$42,SMALL(IF("Página Web"='03.Muestra'!$D$8:$D$42,ROW('03.Muestra'!$F$8:$F$42)-MIN(ROW('03.Muestra'!$D$8:$D$42))+1,""),ROW()-1462)),"")</f>
        <v/>
      </c>
      <c r="D1470" s="99" t="str">
        <f t="shared" ref="D1470:D1497" si="77">IF(AND(B1470&lt;&gt;"",C1470&lt;&gt;""),"N/T","")</f>
        <v/>
      </c>
      <c r="E1470" s="79" t="str">
        <f t="shared" si="76"/>
        <v/>
      </c>
      <c r="F1470" s="18"/>
      <c r="G1470" s="18"/>
      <c r="H1470" s="18"/>
      <c r="I1470" s="18"/>
      <c r="J1470" s="18"/>
      <c r="K1470" s="184"/>
      <c r="L1470" s="18"/>
    </row>
    <row r="1471" spans="1:12" ht="12" customHeight="1">
      <c r="A1471" s="39" t="str" cm="1">
        <f t="array" ref="A1471">IFERROR(INDEX('03.Muestra'!$B$8:$B$42,SMALL(IF("Página Web"='03.Muestra'!$D$8:$D$42,ROW('03.Muestra'!$B$8:$B$42)-MIN(ROW('03.Muestra'!$D$8:$D$42))+1,""),ROW()-1462)),"")</f>
        <v/>
      </c>
      <c r="B1471" s="85" t="str" cm="1">
        <f t="array" ref="B1471">IFERROR(INDEX('03.Muestra'!$C$8:$C$42,SMALL(IF("Página Web"='03.Muestra'!$D$8:$D$42,ROW('03.Muestra'!$C$8:$C$42)-MIN(ROW('03.Muestra'!$D$8:$D$42))+1,""),ROW()-1462)),"")</f>
        <v/>
      </c>
      <c r="C1471" s="85" t="str" cm="1">
        <f t="array" ref="C1471">IFERROR(INDEX('03.Muestra'!$F$8:$F$42,SMALL(IF("Página Web"='03.Muestra'!$D$8:$D$42,ROW('03.Muestra'!$F$8:$F$42)-MIN(ROW('03.Muestra'!$D$8:$D$42))+1,""),ROW()-1462)),"")</f>
        <v/>
      </c>
      <c r="D1471" s="99" t="str">
        <f t="shared" si="77"/>
        <v/>
      </c>
      <c r="E1471" s="79" t="str">
        <f t="shared" si="76"/>
        <v/>
      </c>
      <c r="F1471" s="18"/>
      <c r="G1471" s="18"/>
      <c r="H1471" s="18"/>
      <c r="I1471" s="18"/>
      <c r="J1471" s="18"/>
      <c r="K1471" s="184"/>
      <c r="L1471" s="18"/>
    </row>
    <row r="1472" spans="1:12" ht="12" customHeight="1">
      <c r="A1472" s="39" t="str" cm="1">
        <f t="array" ref="A1472">IFERROR(INDEX('03.Muestra'!$B$8:$B$42,SMALL(IF("Página Web"='03.Muestra'!$D$8:$D$42,ROW('03.Muestra'!$B$8:$B$42)-MIN(ROW('03.Muestra'!$D$8:$D$42))+1,""),ROW()-1462)),"")</f>
        <v/>
      </c>
      <c r="B1472" s="85" t="str" cm="1">
        <f t="array" ref="B1472">IFERROR(INDEX('03.Muestra'!$C$8:$C$42,SMALL(IF("Página Web"='03.Muestra'!$D$8:$D$42,ROW('03.Muestra'!$C$8:$C$42)-MIN(ROW('03.Muestra'!$D$8:$D$42))+1,""),ROW()-1462)),"")</f>
        <v/>
      </c>
      <c r="C1472" s="85" t="str" cm="1">
        <f t="array" ref="C1472">IFERROR(INDEX('03.Muestra'!$F$8:$F$42,SMALL(IF("Página Web"='03.Muestra'!$D$8:$D$42,ROW('03.Muestra'!$F$8:$F$42)-MIN(ROW('03.Muestra'!$D$8:$D$42))+1,""),ROW()-1462)),"")</f>
        <v/>
      </c>
      <c r="D1472" s="99" t="str">
        <f t="shared" si="77"/>
        <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si="77"/>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https://www.bocm.es/</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Inicio/ultimo-bocm</v>
      </c>
      <c r="C1502" s="85" t="str" cm="1">
        <f t="array" ref="C1502">IFERROR(INDEX('03.Muestra'!$F$8:$F$42,SMALL(IF("Página Web"='03.Muestra'!$D$8:$D$42,ROW('03.Muestra'!$F$8:$F$42)-MIN(ROW('03.Muestra'!$D$8:$D$42))+1,""),ROW()-1500)),"")</f>
        <v>https://www.bocm.es/ultimo-bocm</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7</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Inicio/autentificacion-verificacion</v>
      </c>
      <c r="C1503" s="85" t="str" cm="1">
        <f t="array" ref="C1503">IFERROR(INDEX('03.Muestra'!$F$8:$F$42,SMALL(IF("Página Web"='03.Muestra'!$D$8:$D$42,ROW('03.Muestra'!$F$8:$F$42)-MIN(ROW('03.Muestra'!$D$8:$D$42))+1,""),ROW()-1500)),"")</f>
        <v>https://www.bocm.es/autentificacion-verificacion</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Inicio/que-es-bocm</v>
      </c>
      <c r="C1504" s="85" t="str" cm="1">
        <f t="array" ref="C1504">IFERROR(INDEX('03.Muestra'!$F$8:$F$42,SMALL(IF("Página Web"='03.Muestra'!$D$8:$D$42,ROW('03.Muestra'!$F$8:$F$42)-MIN(ROW('03.Muestra'!$D$8:$D$42))+1,""),ROW()-1500)),"")</f>
        <v>https://www.bocm.es/que-es-bocm</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Inicio/organismo-autonomo</v>
      </c>
      <c r="C1505" s="85" t="str" cm="1">
        <f t="array" ref="C1505">IFERROR(INDEX('03.Muestra'!$F$8:$F$42,SMALL(IF("Página Web"='03.Muestra'!$D$8:$D$42,ROW('03.Muestra'!$F$8:$F$42)-MIN(ROW('03.Muestra'!$D$8:$D$42))+1,""),ROW()-1500)),"")</f>
        <v>https://www.bocm.es/organismo-autonomo</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Inicio/s/publicar-anuncio</v>
      </c>
      <c r="C1506" s="85" t="str" cm="1">
        <f t="array" ref="C1506">IFERROR(INDEX('03.Muestra'!$F$8:$F$42,SMALL(IF("Página Web"='03.Muestra'!$D$8:$D$42,ROW('03.Muestra'!$F$8:$F$42)-MIN(ROW('03.Muestra'!$D$8:$D$42))+1,""),ROW()-1500)),"")</f>
        <v>https://www.bocm.es/publicar-anuncio</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Inicio/declaracion-de-accesibilidad</v>
      </c>
      <c r="C1507" s="85" t="str" cm="1">
        <f t="array" ref="C1507">IFERROR(INDEX('03.Muestra'!$F$8:$F$42,SMALL(IF("Página Web"='03.Muestra'!$D$8:$D$42,ROW('03.Muestra'!$F$8:$F$42)-MIN(ROW('03.Muestra'!$D$8:$D$42))+1,""),ROW()-1500)),"")</f>
        <v>https://www.bocm.es/declaracion-de-accesibilidad</v>
      </c>
      <c r="D1507" s="99" t="s">
        <v>92</v>
      </c>
      <c r="E1507" s="79" t="str">
        <f t="shared" si="78"/>
        <v/>
      </c>
      <c r="F1507" s="18"/>
      <c r="G1507" s="18"/>
      <c r="H1507" s="18"/>
      <c r="I1507" s="18"/>
      <c r="J1507" s="18"/>
      <c r="K1507" s="184"/>
      <c r="L1507" s="18"/>
    </row>
    <row r="1508" spans="1:12" ht="12" customHeight="1">
      <c r="A1508" s="39" t="str" cm="1">
        <f t="array" ref="A1508">IFERROR(INDEX('03.Muestra'!$B$8:$B$42,SMALL(IF("Página Web"='03.Muestra'!$D$8:$D$42,ROW('03.Muestra'!$B$8:$B$42)-MIN(ROW('03.Muestra'!$D$8:$D$42))+1,""),ROW()-1500)),"")</f>
        <v/>
      </c>
      <c r="B1508" s="85" t="str" cm="1">
        <f t="array" ref="B1508">IFERROR(INDEX('03.Muestra'!$C$8:$C$42,SMALL(IF("Página Web"='03.Muestra'!$D$8:$D$42,ROW('03.Muestra'!$C$8:$C$42)-MIN(ROW('03.Muestra'!$D$8:$D$42))+1,""),ROW()-1500)),"")</f>
        <v/>
      </c>
      <c r="C1508" s="85" t="str" cm="1">
        <f t="array" ref="C1508">IFERROR(INDEX('03.Muestra'!$F$8:$F$42,SMALL(IF("Página Web"='03.Muestra'!$D$8:$D$42,ROW('03.Muestra'!$F$8:$F$42)-MIN(ROW('03.Muestra'!$D$8:$D$42))+1,""),ROW()-1500)),"")</f>
        <v/>
      </c>
      <c r="D1508" s="99" t="str">
        <f t="shared" ref="D1508:D1535" si="79">IF(AND(B1508&lt;&gt;"",C1508&lt;&gt;""),"N/T","")</f>
        <v/>
      </c>
      <c r="E1508" s="79" t="str">
        <f t="shared" si="78"/>
        <v/>
      </c>
      <c r="F1508" s="18"/>
      <c r="G1508" s="18"/>
      <c r="H1508" s="18"/>
      <c r="I1508" s="18"/>
      <c r="J1508" s="18"/>
      <c r="K1508" s="184"/>
      <c r="L1508" s="18"/>
    </row>
    <row r="1509" spans="1:12" ht="12" customHeight="1">
      <c r="A1509" s="39" t="str" cm="1">
        <f t="array" ref="A1509">IFERROR(INDEX('03.Muestra'!$B$8:$B$42,SMALL(IF("Página Web"='03.Muestra'!$D$8:$D$42,ROW('03.Muestra'!$B$8:$B$42)-MIN(ROW('03.Muestra'!$D$8:$D$42))+1,""),ROW()-1500)),"")</f>
        <v/>
      </c>
      <c r="B1509" s="85" t="str" cm="1">
        <f t="array" ref="B1509">IFERROR(INDEX('03.Muestra'!$C$8:$C$42,SMALL(IF("Página Web"='03.Muestra'!$D$8:$D$42,ROW('03.Muestra'!$C$8:$C$42)-MIN(ROW('03.Muestra'!$D$8:$D$42))+1,""),ROW()-1500)),"")</f>
        <v/>
      </c>
      <c r="C1509" s="85" t="str" cm="1">
        <f t="array" ref="C1509">IFERROR(INDEX('03.Muestra'!$F$8:$F$42,SMALL(IF("Página Web"='03.Muestra'!$D$8:$D$42,ROW('03.Muestra'!$F$8:$F$42)-MIN(ROW('03.Muestra'!$D$8:$D$42))+1,""),ROW()-1500)),"")</f>
        <v/>
      </c>
      <c r="D1509" s="99" t="str">
        <f t="shared" si="79"/>
        <v/>
      </c>
      <c r="E1509" s="79" t="str">
        <f t="shared" si="78"/>
        <v/>
      </c>
      <c r="F1509" s="18"/>
      <c r="G1509" s="18"/>
      <c r="H1509" s="18"/>
      <c r="I1509" s="18"/>
      <c r="J1509" s="18"/>
      <c r="K1509" s="184"/>
      <c r="L1509" s="18"/>
    </row>
    <row r="1510" spans="1:12" ht="12" customHeight="1">
      <c r="A1510" s="39" t="str" cm="1">
        <f t="array" ref="A1510">IFERROR(INDEX('03.Muestra'!$B$8:$B$42,SMALL(IF("Página Web"='03.Muestra'!$D$8:$D$42,ROW('03.Muestra'!$B$8:$B$42)-MIN(ROW('03.Muestra'!$D$8:$D$42))+1,""),ROW()-1500)),"")</f>
        <v/>
      </c>
      <c r="B1510" s="85" t="str" cm="1">
        <f t="array" ref="B1510">IFERROR(INDEX('03.Muestra'!$C$8:$C$42,SMALL(IF("Página Web"='03.Muestra'!$D$8:$D$42,ROW('03.Muestra'!$C$8:$C$42)-MIN(ROW('03.Muestra'!$D$8:$D$42))+1,""),ROW()-1500)),"")</f>
        <v/>
      </c>
      <c r="C1510" s="85" t="str" cm="1">
        <f t="array" ref="C1510">IFERROR(INDEX('03.Muestra'!$F$8:$F$42,SMALL(IF("Página Web"='03.Muestra'!$D$8:$D$42,ROW('03.Muestra'!$F$8:$F$42)-MIN(ROW('03.Muestra'!$D$8:$D$42))+1,""),ROW()-1500)),"")</f>
        <v/>
      </c>
      <c r="D1510" s="99" t="str">
        <f t="shared" si="79"/>
        <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si="79"/>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https://www.bocm.es/</v>
      </c>
      <c r="D1539" s="99" t="s">
        <v>104</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Inicio/ultimo-bocm</v>
      </c>
      <c r="C1540" s="85" t="str" cm="1">
        <f t="array" ref="C1540">IFERROR(INDEX('03.Muestra'!$F$8:$F$42,SMALL(IF("Página Web"='03.Muestra'!$D$8:$D$42,ROW('03.Muestra'!$F$8:$F$42)-MIN(ROW('03.Muestra'!$D$8:$D$42))+1,""),ROW()-1538)),"")</f>
        <v>https://www.bocm.es/ultimo-bocm</v>
      </c>
      <c r="D1540" s="99" t="s">
        <v>104</v>
      </c>
      <c r="E1540" s="79" t="str">
        <f t="shared" si="80"/>
        <v/>
      </c>
      <c r="F1540" s="91">
        <f ca="1">COUNTIF($D1539:INDIRECT("$D" &amp;  SUM(ROW()-1,'03.Muestra'!$D$45)-1),F1539)</f>
        <v>0</v>
      </c>
      <c r="G1540" s="91">
        <f ca="1">COUNTIF($D1539:INDIRECT("$D" &amp;  SUM(ROW()-1,'03.Muestra'!$D$45)-1),G1539)</f>
        <v>0</v>
      </c>
      <c r="H1540" s="91">
        <f ca="1">COUNTIF($D1539:INDIRECT("$D" &amp;  SUM(ROW()-1,'03.Muestra'!$D$45)-1),H1539)</f>
        <v>7</v>
      </c>
      <c r="I1540" s="91">
        <f ca="1">COUNTIF($D1539:INDIRECT("$D" &amp;  SUM(ROW()-1,'03.Muestra'!$D$45)-1),I1539)</f>
        <v>0</v>
      </c>
      <c r="J1540" s="91">
        <f ca="1">COUNTIF($D1539:INDIRECT("$D" &amp;  SUM(ROW()-1,'03.Muestra'!$D$45)-1),J1539)</f>
        <v>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Inicio/autentificacion-verificacion</v>
      </c>
      <c r="C1541" s="85" t="str" cm="1">
        <f t="array" ref="C1541">IFERROR(INDEX('03.Muestra'!$F$8:$F$42,SMALL(IF("Página Web"='03.Muestra'!$D$8:$D$42,ROW('03.Muestra'!$F$8:$F$42)-MIN(ROW('03.Muestra'!$D$8:$D$42))+1,""),ROW()-1538)),"")</f>
        <v>https://www.bocm.es/autentificacion-verificacion</v>
      </c>
      <c r="D1541" s="99" t="s">
        <v>104</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Inicio/que-es-bocm</v>
      </c>
      <c r="C1542" s="85" t="str" cm="1">
        <f t="array" ref="C1542">IFERROR(INDEX('03.Muestra'!$F$8:$F$42,SMALL(IF("Página Web"='03.Muestra'!$D$8:$D$42,ROW('03.Muestra'!$F$8:$F$42)-MIN(ROW('03.Muestra'!$D$8:$D$42))+1,""),ROW()-1538)),"")</f>
        <v>https://www.bocm.es/que-es-bocm</v>
      </c>
      <c r="D1542" s="99" t="s">
        <v>104</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Inicio/organismo-autonomo</v>
      </c>
      <c r="C1543" s="85" t="str" cm="1">
        <f t="array" ref="C1543">IFERROR(INDEX('03.Muestra'!$F$8:$F$42,SMALL(IF("Página Web"='03.Muestra'!$D$8:$D$42,ROW('03.Muestra'!$F$8:$F$42)-MIN(ROW('03.Muestra'!$D$8:$D$42))+1,""),ROW()-1538)),"")</f>
        <v>https://www.bocm.es/organismo-autonomo</v>
      </c>
      <c r="D1543" s="99" t="s">
        <v>104</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Inicio/s/publicar-anuncio</v>
      </c>
      <c r="C1544" s="85" t="str" cm="1">
        <f t="array" ref="C1544">IFERROR(INDEX('03.Muestra'!$F$8:$F$42,SMALL(IF("Página Web"='03.Muestra'!$D$8:$D$42,ROW('03.Muestra'!$F$8:$F$42)-MIN(ROW('03.Muestra'!$D$8:$D$42))+1,""),ROW()-1538)),"")</f>
        <v>https://www.bocm.es/publicar-anuncio</v>
      </c>
      <c r="D1544" s="99" t="s">
        <v>104</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Inicio/declaracion-de-accesibilidad</v>
      </c>
      <c r="C1545" s="85" t="str" cm="1">
        <f t="array" ref="C1545">IFERROR(INDEX('03.Muestra'!$F$8:$F$42,SMALL(IF("Página Web"='03.Muestra'!$D$8:$D$42,ROW('03.Muestra'!$F$8:$F$42)-MIN(ROW('03.Muestra'!$D$8:$D$42))+1,""),ROW()-1538)),"")</f>
        <v>https://www.bocm.es/declaracion-de-accesibilidad</v>
      </c>
      <c r="D1545" s="99" t="s">
        <v>104</v>
      </c>
      <c r="E1545" s="79" t="str">
        <f t="shared" si="80"/>
        <v/>
      </c>
      <c r="F1545" s="18"/>
      <c r="G1545" s="18"/>
      <c r="H1545" s="18"/>
      <c r="I1545" s="18"/>
      <c r="J1545" s="18"/>
      <c r="K1545" s="184"/>
    </row>
    <row r="1546" spans="1:12" ht="12" customHeight="1">
      <c r="A1546" s="39" t="str" cm="1">
        <f t="array" ref="A1546">IFERROR(INDEX('03.Muestra'!$B$8:$B$42,SMALL(IF("Página Web"='03.Muestra'!$D$8:$D$42,ROW('03.Muestra'!$B$8:$B$42)-MIN(ROW('03.Muestra'!$D$8:$D$42))+1,""),ROW()-1538)),"")</f>
        <v/>
      </c>
      <c r="B1546" s="85" t="str" cm="1">
        <f t="array" ref="B1546">IFERROR(INDEX('03.Muestra'!$C$8:$C$42,SMALL(IF("Página Web"='03.Muestra'!$D$8:$D$42,ROW('03.Muestra'!$C$8:$C$42)-MIN(ROW('03.Muestra'!$D$8:$D$42))+1,""),ROW()-1538)),"")</f>
        <v/>
      </c>
      <c r="C1546" s="85" t="str" cm="1">
        <f t="array" ref="C1546">IFERROR(INDEX('03.Muestra'!$F$8:$F$42,SMALL(IF("Página Web"='03.Muestra'!$D$8:$D$42,ROW('03.Muestra'!$F$8:$F$42)-MIN(ROW('03.Muestra'!$D$8:$D$42))+1,""),ROW()-1538)),"")</f>
        <v/>
      </c>
      <c r="D1546" s="99" t="str">
        <f t="shared" ref="D1546:D1573" si="81">IF(AND(B1546&lt;&gt;"",C1546&lt;&gt;""),"N/T","")</f>
        <v/>
      </c>
      <c r="E1546" s="79" t="str">
        <f t="shared" si="80"/>
        <v/>
      </c>
      <c r="F1546" s="18"/>
      <c r="G1546" s="18"/>
      <c r="H1546" s="18"/>
      <c r="I1546" s="18"/>
      <c r="J1546" s="18"/>
      <c r="K1546" s="184"/>
      <c r="L1546" s="18"/>
    </row>
    <row r="1547" spans="1:12" ht="12" customHeight="1">
      <c r="A1547" s="39" t="str" cm="1">
        <f t="array" ref="A1547">IFERROR(INDEX('03.Muestra'!$B$8:$B$42,SMALL(IF("Página Web"='03.Muestra'!$D$8:$D$42,ROW('03.Muestra'!$B$8:$B$42)-MIN(ROW('03.Muestra'!$D$8:$D$42))+1,""),ROW()-1538)),"")</f>
        <v/>
      </c>
      <c r="B1547" s="85" t="str" cm="1">
        <f t="array" ref="B1547">IFERROR(INDEX('03.Muestra'!$C$8:$C$42,SMALL(IF("Página Web"='03.Muestra'!$D$8:$D$42,ROW('03.Muestra'!$C$8:$C$42)-MIN(ROW('03.Muestra'!$D$8:$D$42))+1,""),ROW()-1538)),"")</f>
        <v/>
      </c>
      <c r="C1547" s="85" t="str" cm="1">
        <f t="array" ref="C1547">IFERROR(INDEX('03.Muestra'!$F$8:$F$42,SMALL(IF("Página Web"='03.Muestra'!$D$8:$D$42,ROW('03.Muestra'!$F$8:$F$42)-MIN(ROW('03.Muestra'!$D$8:$D$42))+1,""),ROW()-1538)),"")</f>
        <v/>
      </c>
      <c r="D1547" s="99" t="str">
        <f t="shared" si="81"/>
        <v/>
      </c>
      <c r="E1547" s="79" t="str">
        <f t="shared" si="80"/>
        <v/>
      </c>
      <c r="F1547" s="18"/>
      <c r="G1547" s="18"/>
      <c r="H1547" s="18"/>
      <c r="I1547" s="18"/>
      <c r="J1547" s="18"/>
      <c r="K1547" s="184"/>
      <c r="L1547" s="18"/>
    </row>
    <row r="1548" spans="1:12" ht="12" customHeight="1">
      <c r="A1548" s="39" t="str" cm="1">
        <f t="array" ref="A1548">IFERROR(INDEX('03.Muestra'!$B$8:$B$42,SMALL(IF("Página Web"='03.Muestra'!$D$8:$D$42,ROW('03.Muestra'!$B$8:$B$42)-MIN(ROW('03.Muestra'!$D$8:$D$42))+1,""),ROW()-1538)),"")</f>
        <v/>
      </c>
      <c r="B1548" s="85" t="str" cm="1">
        <f t="array" ref="B1548">IFERROR(INDEX('03.Muestra'!$C$8:$C$42,SMALL(IF("Página Web"='03.Muestra'!$D$8:$D$42,ROW('03.Muestra'!$C$8:$C$42)-MIN(ROW('03.Muestra'!$D$8:$D$42))+1,""),ROW()-1538)),"")</f>
        <v/>
      </c>
      <c r="C1548" s="85" t="str" cm="1">
        <f t="array" ref="C1548">IFERROR(INDEX('03.Muestra'!$F$8:$F$42,SMALL(IF("Página Web"='03.Muestra'!$D$8:$D$42,ROW('03.Muestra'!$F$8:$F$42)-MIN(ROW('03.Muestra'!$D$8:$D$42))+1,""),ROW()-1538)),"")</f>
        <v/>
      </c>
      <c r="D1548" s="99" t="str">
        <f t="shared" si="81"/>
        <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si="81"/>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https://www.bocm.es/</v>
      </c>
      <c r="D1577" s="99" t="s">
        <v>104</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Inicio/ultimo-bocm</v>
      </c>
      <c r="C1578" s="85" t="str" cm="1">
        <f t="array" ref="C1578">IFERROR(INDEX('03.Muestra'!$F$8:$F$42,SMALL(IF("Página Web"='03.Muestra'!$D$8:$D$42,ROW('03.Muestra'!$F$8:$F$42)-MIN(ROW('03.Muestra'!$D$8:$D$42))+1,""),ROW()-1576)),"")</f>
        <v>https://www.bocm.es/ultimo-bocm</v>
      </c>
      <c r="D1578" s="99" t="s">
        <v>104</v>
      </c>
      <c r="E1578" s="79" t="str">
        <f t="shared" si="82"/>
        <v/>
      </c>
      <c r="F1578" s="91">
        <f ca="1">COUNTIF($D1577:INDIRECT("$D" &amp;  SUM(ROW()-1,'03.Muestra'!$D$45)-1),F1577)</f>
        <v>0</v>
      </c>
      <c r="G1578" s="91">
        <f ca="1">COUNTIF($D1577:INDIRECT("$D" &amp;  SUM(ROW()-1,'03.Muestra'!$D$45)-1),G1577)</f>
        <v>0</v>
      </c>
      <c r="H1578" s="91">
        <f ca="1">COUNTIF($D1577:INDIRECT("$D" &amp;  SUM(ROW()-1,'03.Muestra'!$D$45)-1),H1577)</f>
        <v>7</v>
      </c>
      <c r="I1578" s="91">
        <f ca="1">COUNTIF($D1577:INDIRECT("$D" &amp;  SUM(ROW()-1,'03.Muestra'!$D$45)-1),I1577)</f>
        <v>0</v>
      </c>
      <c r="J1578" s="91">
        <f ca="1">COUNTIF($D1577:INDIRECT("$D" &amp;  SUM(ROW()-1,'03.Muestra'!$D$45)-1),J1577)</f>
        <v>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Inicio/autentificacion-verificacion</v>
      </c>
      <c r="C1579" s="85" t="str" cm="1">
        <f t="array" ref="C1579">IFERROR(INDEX('03.Muestra'!$F$8:$F$42,SMALL(IF("Página Web"='03.Muestra'!$D$8:$D$42,ROW('03.Muestra'!$F$8:$F$42)-MIN(ROW('03.Muestra'!$D$8:$D$42))+1,""),ROW()-1576)),"")</f>
        <v>https://www.bocm.es/autentificacion-verificacion</v>
      </c>
      <c r="D1579" s="99" t="s">
        <v>104</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Inicio/que-es-bocm</v>
      </c>
      <c r="C1580" s="85" t="str" cm="1">
        <f t="array" ref="C1580">IFERROR(INDEX('03.Muestra'!$F$8:$F$42,SMALL(IF("Página Web"='03.Muestra'!$D$8:$D$42,ROW('03.Muestra'!$F$8:$F$42)-MIN(ROW('03.Muestra'!$D$8:$D$42))+1,""),ROW()-1576)),"")</f>
        <v>https://www.bocm.es/que-es-bocm</v>
      </c>
      <c r="D1580" s="99" t="s">
        <v>104</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Inicio/organismo-autonomo</v>
      </c>
      <c r="C1581" s="85" t="str" cm="1">
        <f t="array" ref="C1581">IFERROR(INDEX('03.Muestra'!$F$8:$F$42,SMALL(IF("Página Web"='03.Muestra'!$D$8:$D$42,ROW('03.Muestra'!$F$8:$F$42)-MIN(ROW('03.Muestra'!$D$8:$D$42))+1,""),ROW()-1576)),"")</f>
        <v>https://www.bocm.es/organismo-autonomo</v>
      </c>
      <c r="D1581" s="99" t="s">
        <v>104</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Inicio/s/publicar-anuncio</v>
      </c>
      <c r="C1582" s="85" t="str" cm="1">
        <f t="array" ref="C1582">IFERROR(INDEX('03.Muestra'!$F$8:$F$42,SMALL(IF("Página Web"='03.Muestra'!$D$8:$D$42,ROW('03.Muestra'!$F$8:$F$42)-MIN(ROW('03.Muestra'!$D$8:$D$42))+1,""),ROW()-1576)),"")</f>
        <v>https://www.bocm.es/publicar-anuncio</v>
      </c>
      <c r="D1582" s="99" t="s">
        <v>104</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Inicio/declaracion-de-accesibilidad</v>
      </c>
      <c r="C1583" s="85" t="str" cm="1">
        <f t="array" ref="C1583">IFERROR(INDEX('03.Muestra'!$F$8:$F$42,SMALL(IF("Página Web"='03.Muestra'!$D$8:$D$42,ROW('03.Muestra'!$F$8:$F$42)-MIN(ROW('03.Muestra'!$D$8:$D$42))+1,""),ROW()-1576)),"")</f>
        <v>https://www.bocm.es/declaracion-de-accesibilidad</v>
      </c>
      <c r="D1583" s="99" t="s">
        <v>104</v>
      </c>
      <c r="E1583" s="79" t="str">
        <f t="shared" si="82"/>
        <v/>
      </c>
      <c r="F1583" s="18"/>
      <c r="G1583" s="18"/>
      <c r="H1583" s="18"/>
      <c r="I1583" s="18"/>
      <c r="J1583" s="18"/>
      <c r="K1583" s="184"/>
      <c r="L1583" s="18"/>
    </row>
    <row r="1584" spans="1:12" ht="12" customHeight="1">
      <c r="A1584" s="39" t="str" cm="1">
        <f t="array" ref="A1584">IFERROR(INDEX('03.Muestra'!$B$8:$B$42,SMALL(IF("Página Web"='03.Muestra'!$D$8:$D$42,ROW('03.Muestra'!$B$8:$B$42)-MIN(ROW('03.Muestra'!$D$8:$D$42))+1,""),ROW()-1576)),"")</f>
        <v/>
      </c>
      <c r="B1584" s="85" t="str" cm="1">
        <f t="array" ref="B1584">IFERROR(INDEX('03.Muestra'!$C$8:$C$42,SMALL(IF("Página Web"='03.Muestra'!$D$8:$D$42,ROW('03.Muestra'!$C$8:$C$42)-MIN(ROW('03.Muestra'!$D$8:$D$42))+1,""),ROW()-1576)),"")</f>
        <v/>
      </c>
      <c r="C1584" s="85" t="str" cm="1">
        <f t="array" ref="C1584">IFERROR(INDEX('03.Muestra'!$F$8:$F$42,SMALL(IF("Página Web"='03.Muestra'!$D$8:$D$42,ROW('03.Muestra'!$F$8:$F$42)-MIN(ROW('03.Muestra'!$D$8:$D$42))+1,""),ROW()-1576)),"")</f>
        <v/>
      </c>
      <c r="D1584" s="99" t="str">
        <f t="shared" ref="D1584:D1611" si="83">IF(AND(B1584&lt;&gt;"",C1584&lt;&gt;""),"N/T","")</f>
        <v/>
      </c>
      <c r="E1584" s="79" t="str">
        <f t="shared" si="82"/>
        <v/>
      </c>
      <c r="F1584" s="18"/>
      <c r="G1584" s="18"/>
      <c r="H1584" s="18"/>
      <c r="I1584" s="18"/>
      <c r="J1584" s="18"/>
      <c r="K1584" s="184"/>
      <c r="L1584" s="18"/>
    </row>
    <row r="1585" spans="1:12" ht="12" customHeight="1">
      <c r="A1585" s="39" t="str" cm="1">
        <f t="array" ref="A1585">IFERROR(INDEX('03.Muestra'!$B$8:$B$42,SMALL(IF("Página Web"='03.Muestra'!$D$8:$D$42,ROW('03.Muestra'!$B$8:$B$42)-MIN(ROW('03.Muestra'!$D$8:$D$42))+1,""),ROW()-1576)),"")</f>
        <v/>
      </c>
      <c r="B1585" s="85" t="str" cm="1">
        <f t="array" ref="B1585">IFERROR(INDEX('03.Muestra'!$C$8:$C$42,SMALL(IF("Página Web"='03.Muestra'!$D$8:$D$42,ROW('03.Muestra'!$C$8:$C$42)-MIN(ROW('03.Muestra'!$D$8:$D$42))+1,""),ROW()-1576)),"")</f>
        <v/>
      </c>
      <c r="C1585" s="85" t="str" cm="1">
        <f t="array" ref="C1585">IFERROR(INDEX('03.Muestra'!$F$8:$F$42,SMALL(IF("Página Web"='03.Muestra'!$D$8:$D$42,ROW('03.Muestra'!$F$8:$F$42)-MIN(ROW('03.Muestra'!$D$8:$D$42))+1,""),ROW()-1576)),"")</f>
        <v/>
      </c>
      <c r="D1585" s="99" t="str">
        <f t="shared" si="83"/>
        <v/>
      </c>
      <c r="E1585" s="79" t="str">
        <f t="shared" si="82"/>
        <v/>
      </c>
      <c r="F1585" s="18"/>
      <c r="G1585" s="18"/>
      <c r="H1585" s="18"/>
      <c r="I1585" s="18"/>
      <c r="J1585" s="18"/>
      <c r="K1585" s="184"/>
      <c r="L1585" s="18"/>
    </row>
    <row r="1586" spans="1:12" ht="12" customHeight="1">
      <c r="A1586" s="39" t="str" cm="1">
        <f t="array" ref="A1586">IFERROR(INDEX('03.Muestra'!$B$8:$B$42,SMALL(IF("Página Web"='03.Muestra'!$D$8:$D$42,ROW('03.Muestra'!$B$8:$B$42)-MIN(ROW('03.Muestra'!$D$8:$D$42))+1,""),ROW()-1576)),"")</f>
        <v/>
      </c>
      <c r="B1586" s="85" t="str" cm="1">
        <f t="array" ref="B1586">IFERROR(INDEX('03.Muestra'!$C$8:$C$42,SMALL(IF("Página Web"='03.Muestra'!$D$8:$D$42,ROW('03.Muestra'!$C$8:$C$42)-MIN(ROW('03.Muestra'!$D$8:$D$42))+1,""),ROW()-1576)),"")</f>
        <v/>
      </c>
      <c r="C1586" s="85" t="str" cm="1">
        <f t="array" ref="C1586">IFERROR(INDEX('03.Muestra'!$F$8:$F$42,SMALL(IF("Página Web"='03.Muestra'!$D$8:$D$42,ROW('03.Muestra'!$F$8:$F$42)-MIN(ROW('03.Muestra'!$D$8:$D$42))+1,""),ROW()-1576)),"")</f>
        <v/>
      </c>
      <c r="D1586" s="99" t="str">
        <f t="shared" si="83"/>
        <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si="83"/>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https://www.bocm.es/</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Inicio/ultimo-bocm</v>
      </c>
      <c r="C1616" s="85" t="str" cm="1">
        <f t="array" ref="C1616">IFERROR(INDEX('03.Muestra'!$F$8:$F$42,SMALL(IF("Página Web"='03.Muestra'!$D$8:$D$42,ROW('03.Muestra'!$F$8:$F$42)-MIN(ROW('03.Muestra'!$D$8:$D$42))+1,""),ROW()-1614)),"")</f>
        <v>https://www.bocm.es/ultimo-bocm</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7</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Inicio/autentificacion-verificacion</v>
      </c>
      <c r="C1617" s="85" t="str" cm="1">
        <f t="array" ref="C1617">IFERROR(INDEX('03.Muestra'!$F$8:$F$42,SMALL(IF("Página Web"='03.Muestra'!$D$8:$D$42,ROW('03.Muestra'!$F$8:$F$42)-MIN(ROW('03.Muestra'!$D$8:$D$42))+1,""),ROW()-1614)),"")</f>
        <v>https://www.bocm.es/autentificacion-verificacion</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Inicio/que-es-bocm</v>
      </c>
      <c r="C1618" s="85" t="str" cm="1">
        <f t="array" ref="C1618">IFERROR(INDEX('03.Muestra'!$F$8:$F$42,SMALL(IF("Página Web"='03.Muestra'!$D$8:$D$42,ROW('03.Muestra'!$F$8:$F$42)-MIN(ROW('03.Muestra'!$D$8:$D$42))+1,""),ROW()-1614)),"")</f>
        <v>https://www.bocm.es/que-es-bocm</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Inicio/organismo-autonomo</v>
      </c>
      <c r="C1619" s="85" t="str" cm="1">
        <f t="array" ref="C1619">IFERROR(INDEX('03.Muestra'!$F$8:$F$42,SMALL(IF("Página Web"='03.Muestra'!$D$8:$D$42,ROW('03.Muestra'!$F$8:$F$42)-MIN(ROW('03.Muestra'!$D$8:$D$42))+1,""),ROW()-1614)),"")</f>
        <v>https://www.bocm.es/organismo-autonomo</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Inicio/s/publicar-anuncio</v>
      </c>
      <c r="C1620" s="85" t="str" cm="1">
        <f t="array" ref="C1620">IFERROR(INDEX('03.Muestra'!$F$8:$F$42,SMALL(IF("Página Web"='03.Muestra'!$D$8:$D$42,ROW('03.Muestra'!$F$8:$F$42)-MIN(ROW('03.Muestra'!$D$8:$D$42))+1,""),ROW()-1614)),"")</f>
        <v>https://www.bocm.es/publicar-anuncio</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Inicio/declaracion-de-accesibilidad</v>
      </c>
      <c r="C1621" s="85" t="str" cm="1">
        <f t="array" ref="C1621">IFERROR(INDEX('03.Muestra'!$F$8:$F$42,SMALL(IF("Página Web"='03.Muestra'!$D$8:$D$42,ROW('03.Muestra'!$F$8:$F$42)-MIN(ROW('03.Muestra'!$D$8:$D$42))+1,""),ROW()-1614)),"")</f>
        <v>https://www.bocm.es/declaracion-de-accesibilidad</v>
      </c>
      <c r="D1621" s="99" t="s">
        <v>104</v>
      </c>
      <c r="E1621" s="79" t="str">
        <f t="shared" si="84"/>
        <v/>
      </c>
      <c r="F1621" s="18"/>
      <c r="G1621" s="18"/>
      <c r="H1621" s="18"/>
      <c r="I1621" s="18"/>
      <c r="J1621" s="18"/>
      <c r="K1621" s="184"/>
    </row>
    <row r="1622" spans="1:11" ht="12" customHeight="1">
      <c r="A1622" s="39" t="str" cm="1">
        <f t="array" ref="A1622">IFERROR(INDEX('03.Muestra'!$B$8:$B$42,SMALL(IF("Página Web"='03.Muestra'!$D$8:$D$42,ROW('03.Muestra'!$B$8:$B$42)-MIN(ROW('03.Muestra'!$D$8:$D$42))+1,""),ROW()-1614)),"")</f>
        <v/>
      </c>
      <c r="B1622" s="85" t="str" cm="1">
        <f t="array" ref="B1622">IFERROR(INDEX('03.Muestra'!$C$8:$C$42,SMALL(IF("Página Web"='03.Muestra'!$D$8:$D$42,ROW('03.Muestra'!$C$8:$C$42)-MIN(ROW('03.Muestra'!$D$8:$D$42))+1,""),ROW()-1614)),"")</f>
        <v/>
      </c>
      <c r="C1622" s="85" t="str" cm="1">
        <f t="array" ref="C1622">IFERROR(INDEX('03.Muestra'!$F$8:$F$42,SMALL(IF("Página Web"='03.Muestra'!$D$8:$D$42,ROW('03.Muestra'!$F$8:$F$42)-MIN(ROW('03.Muestra'!$D$8:$D$42))+1,""),ROW()-1614)),"")</f>
        <v/>
      </c>
      <c r="D1622" s="99" t="str">
        <f t="shared" ref="D1622:D1649" si="85">IF(AND(B1622&lt;&gt;"",C1622&lt;&gt;""),"N/T","")</f>
        <v/>
      </c>
      <c r="E1622" s="79" t="str">
        <f t="shared" si="84"/>
        <v/>
      </c>
      <c r="F1622" s="18"/>
      <c r="G1622" s="18"/>
      <c r="H1622" s="18"/>
      <c r="I1622" s="18"/>
      <c r="J1622" s="18"/>
      <c r="K1622" s="184"/>
    </row>
    <row r="1623" spans="1:11" ht="12" customHeight="1">
      <c r="A1623" s="39" t="str" cm="1">
        <f t="array" ref="A1623">IFERROR(INDEX('03.Muestra'!$B$8:$B$42,SMALL(IF("Página Web"='03.Muestra'!$D$8:$D$42,ROW('03.Muestra'!$B$8:$B$42)-MIN(ROW('03.Muestra'!$D$8:$D$42))+1,""),ROW()-1614)),"")</f>
        <v/>
      </c>
      <c r="B1623" s="85" t="str" cm="1">
        <f t="array" ref="B1623">IFERROR(INDEX('03.Muestra'!$C$8:$C$42,SMALL(IF("Página Web"='03.Muestra'!$D$8:$D$42,ROW('03.Muestra'!$C$8:$C$42)-MIN(ROW('03.Muestra'!$D$8:$D$42))+1,""),ROW()-1614)),"")</f>
        <v/>
      </c>
      <c r="C1623" s="85" t="str" cm="1">
        <f t="array" ref="C1623">IFERROR(INDEX('03.Muestra'!$F$8:$F$42,SMALL(IF("Página Web"='03.Muestra'!$D$8:$D$42,ROW('03.Muestra'!$F$8:$F$42)-MIN(ROW('03.Muestra'!$D$8:$D$42))+1,""),ROW()-1614)),"")</f>
        <v/>
      </c>
      <c r="D1623" s="99" t="str">
        <f t="shared" si="85"/>
        <v/>
      </c>
      <c r="E1623" s="79" t="str">
        <f t="shared" si="84"/>
        <v/>
      </c>
      <c r="F1623" s="18"/>
      <c r="G1623" s="18"/>
      <c r="H1623" s="18"/>
      <c r="I1623" s="18"/>
      <c r="J1623" s="18"/>
      <c r="K1623" s="184"/>
    </row>
    <row r="1624" spans="1:11" ht="12" customHeight="1">
      <c r="A1624" s="39" t="str" cm="1">
        <f t="array" ref="A1624">IFERROR(INDEX('03.Muestra'!$B$8:$B$42,SMALL(IF("Página Web"='03.Muestra'!$D$8:$D$42,ROW('03.Muestra'!$B$8:$B$42)-MIN(ROW('03.Muestra'!$D$8:$D$42))+1,""),ROW()-1614)),"")</f>
        <v/>
      </c>
      <c r="B1624" s="85" t="str" cm="1">
        <f t="array" ref="B1624">IFERROR(INDEX('03.Muestra'!$C$8:$C$42,SMALL(IF("Página Web"='03.Muestra'!$D$8:$D$42,ROW('03.Muestra'!$C$8:$C$42)-MIN(ROW('03.Muestra'!$D$8:$D$42))+1,""),ROW()-1614)),"")</f>
        <v/>
      </c>
      <c r="C1624" s="85" t="str" cm="1">
        <f t="array" ref="C1624">IFERROR(INDEX('03.Muestra'!$F$8:$F$42,SMALL(IF("Página Web"='03.Muestra'!$D$8:$D$42,ROW('03.Muestra'!$F$8:$F$42)-MIN(ROW('03.Muestra'!$D$8:$D$42))+1,""),ROW()-1614)),"")</f>
        <v/>
      </c>
      <c r="D1624" s="99" t="str">
        <f t="shared" si="85"/>
        <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si="85"/>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https://www.bocm.es/</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Inicio/ultimo-bocm</v>
      </c>
      <c r="C1654" s="85" t="str" cm="1">
        <f t="array" ref="C1654">IFERROR(INDEX('03.Muestra'!$F$8:$F$42,SMALL(IF("Página Web"='03.Muestra'!$D$8:$D$42,ROW('03.Muestra'!$F$8:$F$42)-MIN(ROW('03.Muestra'!$D$8:$D$42))+1,""),ROW()-1652)),"")</f>
        <v>https://www.bocm.es/ultimo-bocm</v>
      </c>
      <c r="D1654" s="99" t="s">
        <v>104</v>
      </c>
      <c r="E1654" s="79" t="str">
        <f t="shared" si="86"/>
        <v/>
      </c>
      <c r="F1654" s="91">
        <f ca="1">COUNTIF($D1653:INDIRECT("$D" &amp;  SUM(ROW()-1,'03.Muestra'!$D$45)-1),F1653)</f>
        <v>0</v>
      </c>
      <c r="G1654" s="91">
        <f ca="1">COUNTIF($D1653:INDIRECT("$D" &amp;  SUM(ROW()-1,'03.Muestra'!$D$45)-1),G1653)</f>
        <v>0</v>
      </c>
      <c r="H1654" s="91">
        <f ca="1">COUNTIF($D1653:INDIRECT("$D" &amp;  SUM(ROW()-1,'03.Muestra'!$D$45)-1),H1653)</f>
        <v>6</v>
      </c>
      <c r="I1654" s="91">
        <f ca="1">COUNTIF($D1653:INDIRECT("$D" &amp;  SUM(ROW()-1,'03.Muestra'!$D$45)-1),I1653)</f>
        <v>0</v>
      </c>
      <c r="J1654" s="91">
        <f ca="1">COUNTIF($D1653:INDIRECT("$D" &amp;  SUM(ROW()-1,'03.Muestra'!$D$45)-1),J1653)</f>
        <v>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Inicio/autentificacion-verificacion</v>
      </c>
      <c r="C1655" s="85" t="str" cm="1">
        <f t="array" ref="C1655">IFERROR(INDEX('03.Muestra'!$F$8:$F$42,SMALL(IF("Página Web"='03.Muestra'!$D$8:$D$42,ROW('03.Muestra'!$F$8:$F$42)-MIN(ROW('03.Muestra'!$D$8:$D$42))+1,""),ROW()-1652)),"")</f>
        <v>https://www.bocm.es/autentificacion-verificacion</v>
      </c>
      <c r="D1655" s="99" t="s">
        <v>104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Inicio/que-es-bocm</v>
      </c>
      <c r="C1656" s="85" t="str" cm="1">
        <f t="array" ref="C1656">IFERROR(INDEX('03.Muestra'!$F$8:$F$42,SMALL(IF("Página Web"='03.Muestra'!$D$8:$D$42,ROW('03.Muestra'!$F$8:$F$42)-MIN(ROW('03.Muestra'!$D$8:$D$42))+1,""),ROW()-1652)),"")</f>
        <v>https://www.bocm.es/que-es-bocm</v>
      </c>
      <c r="D1656" s="99" t="s">
        <v>104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Inicio/organismo-autonomo</v>
      </c>
      <c r="C1657" s="85" t="str" cm="1">
        <f t="array" ref="C1657">IFERROR(INDEX('03.Muestra'!$F$8:$F$42,SMALL(IF("Página Web"='03.Muestra'!$D$8:$D$42,ROW('03.Muestra'!$F$8:$F$42)-MIN(ROW('03.Muestra'!$D$8:$D$42))+1,""),ROW()-1652)),"")</f>
        <v>https://www.bocm.es/organismo-autonomo</v>
      </c>
      <c r="D1657" s="99" t="s">
        <v>104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Inicio/s/publicar-anuncio</v>
      </c>
      <c r="C1658" s="85" t="str" cm="1">
        <f t="array" ref="C1658">IFERROR(INDEX('03.Muestra'!$F$8:$F$42,SMALL(IF("Página Web"='03.Muestra'!$D$8:$D$42,ROW('03.Muestra'!$F$8:$F$42)-MIN(ROW('03.Muestra'!$D$8:$D$42))+1,""),ROW()-1652)),"")</f>
        <v>https://www.bocm.es/publicar-anuncio</v>
      </c>
      <c r="D1658" s="99" t="s">
        <v>104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Inicio/declaracion-de-accesibilidad</v>
      </c>
      <c r="C1659" s="85" t="str" cm="1">
        <f t="array" ref="C1659">IFERROR(INDEX('03.Muestra'!$F$8:$F$42,SMALL(IF("Página Web"='03.Muestra'!$D$8:$D$42,ROW('03.Muestra'!$F$8:$F$42)-MIN(ROW('03.Muestra'!$D$8:$D$42))+1,""),ROW()-1652)),"")</f>
        <v>https://www.bocm.es/declaracion-de-accesibilidad</v>
      </c>
      <c r="D1659" s="99" t="s">
        <v>104</v>
      </c>
      <c r="E1659" s="79" t="str">
        <f t="shared" si="86"/>
        <v/>
      </c>
      <c r="F1659" s="18"/>
      <c r="G1659" s="18"/>
      <c r="H1659" s="18"/>
      <c r="I1659" s="18"/>
      <c r="J1659" s="18"/>
      <c r="K1659" s="184"/>
    </row>
    <row r="1660" spans="1:11" ht="12" customHeight="1">
      <c r="A1660" s="39" t="str" cm="1">
        <f t="array" ref="A1660">IFERROR(INDEX('03.Muestra'!$B$8:$B$42,SMALL(IF("Página Web"='03.Muestra'!$D$8:$D$42,ROW('03.Muestra'!$B$8:$B$42)-MIN(ROW('03.Muestra'!$D$8:$D$42))+1,""),ROW()-1652)),"")</f>
        <v/>
      </c>
      <c r="B1660" s="85" t="str" cm="1">
        <f t="array" ref="B1660">IFERROR(INDEX('03.Muestra'!$C$8:$C$42,SMALL(IF("Página Web"='03.Muestra'!$D$8:$D$42,ROW('03.Muestra'!$C$8:$C$42)-MIN(ROW('03.Muestra'!$D$8:$D$42))+1,""),ROW()-1652)),"")</f>
        <v/>
      </c>
      <c r="C1660" s="85" t="str" cm="1">
        <f t="array" ref="C1660">IFERROR(INDEX('03.Muestra'!$F$8:$F$42,SMALL(IF("Página Web"='03.Muestra'!$D$8:$D$42,ROW('03.Muestra'!$F$8:$F$42)-MIN(ROW('03.Muestra'!$D$8:$D$42))+1,""),ROW()-1652)),"")</f>
        <v/>
      </c>
      <c r="D1660" s="99" t="str">
        <f t="shared" ref="D1660:D1687" si="87">IF(AND(B1660&lt;&gt;"",C1660&lt;&gt;""),"N/T","")</f>
        <v/>
      </c>
      <c r="E1660" s="79" t="str">
        <f t="shared" si="86"/>
        <v/>
      </c>
      <c r="F1660" s="18"/>
      <c r="G1660" s="18"/>
      <c r="H1660" s="18"/>
      <c r="I1660" s="18"/>
      <c r="J1660" s="18"/>
      <c r="K1660" s="184"/>
    </row>
    <row r="1661" spans="1:11" ht="12" customHeight="1">
      <c r="A1661" s="39" t="str" cm="1">
        <f t="array" ref="A1661">IFERROR(INDEX('03.Muestra'!$B$8:$B$42,SMALL(IF("Página Web"='03.Muestra'!$D$8:$D$42,ROW('03.Muestra'!$B$8:$B$42)-MIN(ROW('03.Muestra'!$D$8:$D$42))+1,""),ROW()-1652)),"")</f>
        <v/>
      </c>
      <c r="B1661" s="85" t="str" cm="1">
        <f t="array" ref="B1661">IFERROR(INDEX('03.Muestra'!$C$8:$C$42,SMALL(IF("Página Web"='03.Muestra'!$D$8:$D$42,ROW('03.Muestra'!$C$8:$C$42)-MIN(ROW('03.Muestra'!$D$8:$D$42))+1,""),ROW()-1652)),"")</f>
        <v/>
      </c>
      <c r="C1661" s="85" t="str" cm="1">
        <f t="array" ref="C1661">IFERROR(INDEX('03.Muestra'!$F$8:$F$42,SMALL(IF("Página Web"='03.Muestra'!$D$8:$D$42,ROW('03.Muestra'!$F$8:$F$42)-MIN(ROW('03.Muestra'!$D$8:$D$42))+1,""),ROW()-1652)),"")</f>
        <v/>
      </c>
      <c r="D1661" s="99" t="str">
        <f t="shared" si="87"/>
        <v/>
      </c>
      <c r="E1661" s="79" t="str">
        <f t="shared" si="86"/>
        <v/>
      </c>
      <c r="F1661" s="18"/>
      <c r="G1661" s="18"/>
      <c r="H1661" s="18"/>
      <c r="I1661" s="18"/>
      <c r="J1661" s="18"/>
      <c r="K1661" s="184"/>
    </row>
    <row r="1662" spans="1:11" ht="12" customHeight="1">
      <c r="A1662" s="39" t="str" cm="1">
        <f t="array" ref="A1662">IFERROR(INDEX('03.Muestra'!$B$8:$B$42,SMALL(IF("Página Web"='03.Muestra'!$D$8:$D$42,ROW('03.Muestra'!$B$8:$B$42)-MIN(ROW('03.Muestra'!$D$8:$D$42))+1,""),ROW()-1652)),"")</f>
        <v/>
      </c>
      <c r="B1662" s="85" t="str" cm="1">
        <f t="array" ref="B1662">IFERROR(INDEX('03.Muestra'!$C$8:$C$42,SMALL(IF("Página Web"='03.Muestra'!$D$8:$D$42,ROW('03.Muestra'!$C$8:$C$42)-MIN(ROW('03.Muestra'!$D$8:$D$42))+1,""),ROW()-1652)),"")</f>
        <v/>
      </c>
      <c r="C1662" s="85" t="str" cm="1">
        <f t="array" ref="C1662">IFERROR(INDEX('03.Muestra'!$F$8:$F$42,SMALL(IF("Página Web"='03.Muestra'!$D$8:$D$42,ROW('03.Muestra'!$F$8:$F$42)-MIN(ROW('03.Muestra'!$D$8:$D$42))+1,""),ROW()-1652)),"")</f>
        <v/>
      </c>
      <c r="D1662" s="99" t="str">
        <f t="shared" si="87"/>
        <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si="87"/>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https://www.bocm.es/</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Inicio/ultimo-bocm</v>
      </c>
      <c r="C1692" s="85" t="str" cm="1">
        <f t="array" ref="C1692">IFERROR(INDEX('03.Muestra'!$F$8:$F$42,SMALL(IF("Página Web"='03.Muestra'!$D$8:$D$42,ROW('03.Muestra'!$F$8:$F$42)-MIN(ROW('03.Muestra'!$D$8:$D$42))+1,""),ROW()-1690)),"")</f>
        <v>https://www.bocm.es/ultimo-bocm</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7</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Inicio/autentificacion-verificacion</v>
      </c>
      <c r="C1693" s="85" t="str" cm="1">
        <f t="array" ref="C1693">IFERROR(INDEX('03.Muestra'!$F$8:$F$42,SMALL(IF("Página Web"='03.Muestra'!$D$8:$D$42,ROW('03.Muestra'!$F$8:$F$42)-MIN(ROW('03.Muestra'!$D$8:$D$42))+1,""),ROW()-1690)),"")</f>
        <v>https://www.bocm.es/autentificacion-verificacion</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Inicio/que-es-bocm</v>
      </c>
      <c r="C1694" s="85" t="str" cm="1">
        <f t="array" ref="C1694">IFERROR(INDEX('03.Muestra'!$F$8:$F$42,SMALL(IF("Página Web"='03.Muestra'!$D$8:$D$42,ROW('03.Muestra'!$F$8:$F$42)-MIN(ROW('03.Muestra'!$D$8:$D$42))+1,""),ROW()-1690)),"")</f>
        <v>https://www.bocm.es/que-es-bocm</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Inicio/organismo-autonomo</v>
      </c>
      <c r="C1695" s="85" t="str" cm="1">
        <f t="array" ref="C1695">IFERROR(INDEX('03.Muestra'!$F$8:$F$42,SMALL(IF("Página Web"='03.Muestra'!$D$8:$D$42,ROW('03.Muestra'!$F$8:$F$42)-MIN(ROW('03.Muestra'!$D$8:$D$42))+1,""),ROW()-1690)),"")</f>
        <v>https://www.bocm.es/organismo-autonomo</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Inicio/s/publicar-anuncio</v>
      </c>
      <c r="C1696" s="85" t="str" cm="1">
        <f t="array" ref="C1696">IFERROR(INDEX('03.Muestra'!$F$8:$F$42,SMALL(IF("Página Web"='03.Muestra'!$D$8:$D$42,ROW('03.Muestra'!$F$8:$F$42)-MIN(ROW('03.Muestra'!$D$8:$D$42))+1,""),ROW()-1690)),"")</f>
        <v>https://www.bocm.es/publicar-anuncio</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Inicio/declaracion-de-accesibilidad</v>
      </c>
      <c r="C1697" s="85" t="str" cm="1">
        <f t="array" ref="C1697">IFERROR(INDEX('03.Muestra'!$F$8:$F$42,SMALL(IF("Página Web"='03.Muestra'!$D$8:$D$42,ROW('03.Muestra'!$F$8:$F$42)-MIN(ROW('03.Muestra'!$D$8:$D$42))+1,""),ROW()-1690)),"")</f>
        <v>https://www.bocm.es/declaracion-de-accesibilidad</v>
      </c>
      <c r="D1697" s="99" t="s">
        <v>104</v>
      </c>
      <c r="E1697" s="79" t="str">
        <f t="shared" si="88"/>
        <v/>
      </c>
      <c r="F1697" s="18"/>
      <c r="G1697" s="18"/>
      <c r="H1697" s="18"/>
      <c r="I1697" s="18"/>
      <c r="J1697" s="18"/>
      <c r="K1697" s="184"/>
    </row>
    <row r="1698" spans="1:11" ht="12" customHeight="1">
      <c r="A1698" s="39" t="str" cm="1">
        <f t="array" ref="A1698">IFERROR(INDEX('03.Muestra'!$B$8:$B$42,SMALL(IF("Página Web"='03.Muestra'!$D$8:$D$42,ROW('03.Muestra'!$B$8:$B$42)-MIN(ROW('03.Muestra'!$D$8:$D$42))+1,""),ROW()-1690)),"")</f>
        <v/>
      </c>
      <c r="B1698" s="85" t="str" cm="1">
        <f t="array" ref="B1698">IFERROR(INDEX('03.Muestra'!$C$8:$C$42,SMALL(IF("Página Web"='03.Muestra'!$D$8:$D$42,ROW('03.Muestra'!$C$8:$C$42)-MIN(ROW('03.Muestra'!$D$8:$D$42))+1,""),ROW()-1690)),"")</f>
        <v/>
      </c>
      <c r="C1698" s="85" t="str" cm="1">
        <f t="array" ref="C1698">IFERROR(INDEX('03.Muestra'!$F$8:$F$42,SMALL(IF("Página Web"='03.Muestra'!$D$8:$D$42,ROW('03.Muestra'!$F$8:$F$42)-MIN(ROW('03.Muestra'!$D$8:$D$42))+1,""),ROW()-1690)),"")</f>
        <v/>
      </c>
      <c r="D1698" s="99" t="str">
        <f t="shared" ref="D1698:D1725" si="89">IF(AND(B1698&lt;&gt;"",C1698&lt;&gt;""),"N/T","")</f>
        <v/>
      </c>
      <c r="E1698" s="79" t="str">
        <f t="shared" si="88"/>
        <v/>
      </c>
      <c r="F1698" s="18"/>
      <c r="G1698" s="18"/>
      <c r="H1698" s="18"/>
      <c r="I1698" s="18"/>
      <c r="J1698" s="18"/>
      <c r="K1698" s="184"/>
    </row>
    <row r="1699" spans="1:11" ht="12" customHeight="1">
      <c r="A1699" s="39" t="str" cm="1">
        <f t="array" ref="A1699">IFERROR(INDEX('03.Muestra'!$B$8:$B$42,SMALL(IF("Página Web"='03.Muestra'!$D$8:$D$42,ROW('03.Muestra'!$B$8:$B$42)-MIN(ROW('03.Muestra'!$D$8:$D$42))+1,""),ROW()-1690)),"")</f>
        <v/>
      </c>
      <c r="B1699" s="85" t="str" cm="1">
        <f t="array" ref="B1699">IFERROR(INDEX('03.Muestra'!$C$8:$C$42,SMALL(IF("Página Web"='03.Muestra'!$D$8:$D$42,ROW('03.Muestra'!$C$8:$C$42)-MIN(ROW('03.Muestra'!$D$8:$D$42))+1,""),ROW()-1690)),"")</f>
        <v/>
      </c>
      <c r="C1699" s="85" t="str" cm="1">
        <f t="array" ref="C1699">IFERROR(INDEX('03.Muestra'!$F$8:$F$42,SMALL(IF("Página Web"='03.Muestra'!$D$8:$D$42,ROW('03.Muestra'!$F$8:$F$42)-MIN(ROW('03.Muestra'!$D$8:$D$42))+1,""),ROW()-1690)),"")</f>
        <v/>
      </c>
      <c r="D1699" s="99" t="str">
        <f t="shared" si="89"/>
        <v/>
      </c>
      <c r="E1699" s="79" t="str">
        <f t="shared" si="88"/>
        <v/>
      </c>
      <c r="F1699" s="18"/>
      <c r="G1699" s="18"/>
      <c r="H1699" s="18"/>
      <c r="I1699" s="18"/>
      <c r="J1699" s="18"/>
      <c r="K1699" s="184"/>
    </row>
    <row r="1700" spans="1:11" ht="12" customHeight="1">
      <c r="A1700" s="39" t="str" cm="1">
        <f t="array" ref="A1700">IFERROR(INDEX('03.Muestra'!$B$8:$B$42,SMALL(IF("Página Web"='03.Muestra'!$D$8:$D$42,ROW('03.Muestra'!$B$8:$B$42)-MIN(ROW('03.Muestra'!$D$8:$D$42))+1,""),ROW()-1690)),"")</f>
        <v/>
      </c>
      <c r="B1700" s="85" t="str" cm="1">
        <f t="array" ref="B1700">IFERROR(INDEX('03.Muestra'!$C$8:$C$42,SMALL(IF("Página Web"='03.Muestra'!$D$8:$D$42,ROW('03.Muestra'!$C$8:$C$42)-MIN(ROW('03.Muestra'!$D$8:$D$42))+1,""),ROW()-1690)),"")</f>
        <v/>
      </c>
      <c r="C1700" s="85" t="str" cm="1">
        <f t="array" ref="C1700">IFERROR(INDEX('03.Muestra'!$F$8:$F$42,SMALL(IF("Página Web"='03.Muestra'!$D$8:$D$42,ROW('03.Muestra'!$F$8:$F$42)-MIN(ROW('03.Muestra'!$D$8:$D$42))+1,""),ROW()-1690)),"")</f>
        <v/>
      </c>
      <c r="D1700" s="99" t="str">
        <f t="shared" si="89"/>
        <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si="89"/>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https://www.bocm.es/</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Inicio/ultimo-bocm</v>
      </c>
      <c r="C1730" s="85" t="str" cm="1">
        <f t="array" ref="C1730">IFERROR(INDEX('03.Muestra'!$F$8:$F$42,SMALL(IF("Página Web"='03.Muestra'!$D$8:$D$42,ROW('03.Muestra'!$F$8:$F$42)-MIN(ROW('03.Muestra'!$D$8:$D$42))+1,""),ROW()-1728)),"")</f>
        <v>https://www.bocm.es/ultimo-bocm</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7</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Inicio/autentificacion-verificacion</v>
      </c>
      <c r="C1731" s="85" t="str" cm="1">
        <f t="array" ref="C1731">IFERROR(INDEX('03.Muestra'!$F$8:$F$42,SMALL(IF("Página Web"='03.Muestra'!$D$8:$D$42,ROW('03.Muestra'!$F$8:$F$42)-MIN(ROW('03.Muestra'!$D$8:$D$42))+1,""),ROW()-1728)),"")</f>
        <v>https://www.bocm.es/autentificacion-verificacion</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Inicio/que-es-bocm</v>
      </c>
      <c r="C1732" s="85" t="str" cm="1">
        <f t="array" ref="C1732">IFERROR(INDEX('03.Muestra'!$F$8:$F$42,SMALL(IF("Página Web"='03.Muestra'!$D$8:$D$42,ROW('03.Muestra'!$F$8:$F$42)-MIN(ROW('03.Muestra'!$D$8:$D$42))+1,""),ROW()-1728)),"")</f>
        <v>https://www.bocm.es/que-es-bocm</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Inicio/organismo-autonomo</v>
      </c>
      <c r="C1733" s="85" t="str" cm="1">
        <f t="array" ref="C1733">IFERROR(INDEX('03.Muestra'!$F$8:$F$42,SMALL(IF("Página Web"='03.Muestra'!$D$8:$D$42,ROW('03.Muestra'!$F$8:$F$42)-MIN(ROW('03.Muestra'!$D$8:$D$42))+1,""),ROW()-1728)),"")</f>
        <v>https://www.bocm.es/organismo-autonomo</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Inicio/s/publicar-anuncio</v>
      </c>
      <c r="C1734" s="85" t="str" cm="1">
        <f t="array" ref="C1734">IFERROR(INDEX('03.Muestra'!$F$8:$F$42,SMALL(IF("Página Web"='03.Muestra'!$D$8:$D$42,ROW('03.Muestra'!$F$8:$F$42)-MIN(ROW('03.Muestra'!$D$8:$D$42))+1,""),ROW()-1728)),"")</f>
        <v>https://www.bocm.es/publicar-anuncio</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Inicio/declaracion-de-accesibilidad</v>
      </c>
      <c r="C1735" s="85" t="str" cm="1">
        <f t="array" ref="C1735">IFERROR(INDEX('03.Muestra'!$F$8:$F$42,SMALL(IF("Página Web"='03.Muestra'!$D$8:$D$42,ROW('03.Muestra'!$F$8:$F$42)-MIN(ROW('03.Muestra'!$D$8:$D$42))+1,""),ROW()-1728)),"")</f>
        <v>https://www.bocm.es/declaracion-de-accesibilidad</v>
      </c>
      <c r="D1735" s="99" t="s">
        <v>104</v>
      </c>
      <c r="E1735" s="79" t="str">
        <f t="shared" si="90"/>
        <v/>
      </c>
      <c r="F1735" s="18"/>
      <c r="G1735" s="18"/>
      <c r="H1735" s="18"/>
      <c r="I1735" s="18"/>
      <c r="J1735" s="18"/>
      <c r="K1735" s="184"/>
    </row>
    <row r="1736" spans="1:11" ht="12" customHeight="1">
      <c r="A1736" s="39" t="str" cm="1">
        <f t="array" ref="A1736">IFERROR(INDEX('03.Muestra'!$B$8:$B$42,SMALL(IF("Página Web"='03.Muestra'!$D$8:$D$42,ROW('03.Muestra'!$B$8:$B$42)-MIN(ROW('03.Muestra'!$D$8:$D$42))+1,""),ROW()-1728)),"")</f>
        <v/>
      </c>
      <c r="B1736" s="85" t="str" cm="1">
        <f t="array" ref="B1736">IFERROR(INDEX('03.Muestra'!$C$8:$C$42,SMALL(IF("Página Web"='03.Muestra'!$D$8:$D$42,ROW('03.Muestra'!$C$8:$C$42)-MIN(ROW('03.Muestra'!$D$8:$D$42))+1,""),ROW()-1728)),"")</f>
        <v/>
      </c>
      <c r="C1736" s="85" t="str" cm="1">
        <f t="array" ref="C1736">IFERROR(INDEX('03.Muestra'!$F$8:$F$42,SMALL(IF("Página Web"='03.Muestra'!$D$8:$D$42,ROW('03.Muestra'!$F$8:$F$42)-MIN(ROW('03.Muestra'!$D$8:$D$42))+1,""),ROW()-1728)),"")</f>
        <v/>
      </c>
      <c r="D1736" s="99" t="str">
        <f t="shared" ref="D1736:D1763" si="91">IF(AND(B1736&lt;&gt;"",C1736&lt;&gt;""),"N/T","")</f>
        <v/>
      </c>
      <c r="E1736" s="79" t="str">
        <f t="shared" si="90"/>
        <v/>
      </c>
      <c r="F1736" s="18"/>
      <c r="G1736" s="18"/>
      <c r="H1736" s="18"/>
      <c r="I1736" s="18"/>
      <c r="J1736" s="18"/>
      <c r="K1736" s="184"/>
    </row>
    <row r="1737" spans="1:11" ht="12" customHeight="1">
      <c r="A1737" s="39" t="str" cm="1">
        <f t="array" ref="A1737">IFERROR(INDEX('03.Muestra'!$B$8:$B$42,SMALL(IF("Página Web"='03.Muestra'!$D$8:$D$42,ROW('03.Muestra'!$B$8:$B$42)-MIN(ROW('03.Muestra'!$D$8:$D$42))+1,""),ROW()-1728)),"")</f>
        <v/>
      </c>
      <c r="B1737" s="85" t="str" cm="1">
        <f t="array" ref="B1737">IFERROR(INDEX('03.Muestra'!$C$8:$C$42,SMALL(IF("Página Web"='03.Muestra'!$D$8:$D$42,ROW('03.Muestra'!$C$8:$C$42)-MIN(ROW('03.Muestra'!$D$8:$D$42))+1,""),ROW()-1728)),"")</f>
        <v/>
      </c>
      <c r="C1737" s="85" t="str" cm="1">
        <f t="array" ref="C1737">IFERROR(INDEX('03.Muestra'!$F$8:$F$42,SMALL(IF("Página Web"='03.Muestra'!$D$8:$D$42,ROW('03.Muestra'!$F$8:$F$42)-MIN(ROW('03.Muestra'!$D$8:$D$42))+1,""),ROW()-1728)),"")</f>
        <v/>
      </c>
      <c r="D1737" s="99" t="str">
        <f t="shared" si="91"/>
        <v/>
      </c>
      <c r="E1737" s="79" t="str">
        <f t="shared" si="90"/>
        <v/>
      </c>
      <c r="F1737" s="18"/>
      <c r="G1737" s="18"/>
      <c r="H1737" s="18"/>
      <c r="I1737" s="18"/>
      <c r="J1737" s="18"/>
      <c r="K1737" s="184"/>
    </row>
    <row r="1738" spans="1:11" ht="12" customHeight="1">
      <c r="A1738" s="39" t="str" cm="1">
        <f t="array" ref="A1738">IFERROR(INDEX('03.Muestra'!$B$8:$B$42,SMALL(IF("Página Web"='03.Muestra'!$D$8:$D$42,ROW('03.Muestra'!$B$8:$B$42)-MIN(ROW('03.Muestra'!$D$8:$D$42))+1,""),ROW()-1728)),"")</f>
        <v/>
      </c>
      <c r="B1738" s="85" t="str" cm="1">
        <f t="array" ref="B1738">IFERROR(INDEX('03.Muestra'!$C$8:$C$42,SMALL(IF("Página Web"='03.Muestra'!$D$8:$D$42,ROW('03.Muestra'!$C$8:$C$42)-MIN(ROW('03.Muestra'!$D$8:$D$42))+1,""),ROW()-1728)),"")</f>
        <v/>
      </c>
      <c r="C1738" s="85" t="str" cm="1">
        <f t="array" ref="C1738">IFERROR(INDEX('03.Muestra'!$F$8:$F$42,SMALL(IF("Página Web"='03.Muestra'!$D$8:$D$42,ROW('03.Muestra'!$F$8:$F$42)-MIN(ROW('03.Muestra'!$D$8:$D$42))+1,""),ROW()-1728)),"")</f>
        <v/>
      </c>
      <c r="D1738" s="99" t="str">
        <f t="shared" si="91"/>
        <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si="91"/>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https://www.bocm.es/</v>
      </c>
      <c r="D1767" s="99" t="s">
        <v>94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Inicio/ultimo-bocm</v>
      </c>
      <c r="C1768" s="85" t="str" cm="1">
        <f t="array" ref="C1768">IFERROR(INDEX('03.Muestra'!$F$8:$F$42,SMALL(IF("Página Web"='03.Muestra'!$D$8:$D$42,ROW('03.Muestra'!$F$8:$F$42)-MIN(ROW('03.Muestra'!$D$8:$D$42))+1,""),ROW()-1766)),"")</f>
        <v>https://www.bocm.es/ultimo-bocm</v>
      </c>
      <c r="D1768" s="99" t="s">
        <v>94</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7</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Inicio/autentificacion-verificacion</v>
      </c>
      <c r="C1769" s="85" t="str" cm="1">
        <f t="array" ref="C1769">IFERROR(INDEX('03.Muestra'!$F$8:$F$42,SMALL(IF("Página Web"='03.Muestra'!$D$8:$D$42,ROW('03.Muestra'!$F$8:$F$42)-MIN(ROW('03.Muestra'!$D$8:$D$42))+1,""),ROW()-1766)),"")</f>
        <v>https://www.bocm.es/autentificacion-verificacion</v>
      </c>
      <c r="D1769" s="99" t="s">
        <v>94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Inicio/que-es-bocm</v>
      </c>
      <c r="C1770" s="85" t="str" cm="1">
        <f t="array" ref="C1770">IFERROR(INDEX('03.Muestra'!$F$8:$F$42,SMALL(IF("Página Web"='03.Muestra'!$D$8:$D$42,ROW('03.Muestra'!$F$8:$F$42)-MIN(ROW('03.Muestra'!$D$8:$D$42))+1,""),ROW()-1766)),"")</f>
        <v>https://www.bocm.es/que-es-bocm</v>
      </c>
      <c r="D1770" s="99" t="s">
        <v>94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Inicio/organismo-autonomo</v>
      </c>
      <c r="C1771" s="85" t="str" cm="1">
        <f t="array" ref="C1771">IFERROR(INDEX('03.Muestra'!$F$8:$F$42,SMALL(IF("Página Web"='03.Muestra'!$D$8:$D$42,ROW('03.Muestra'!$F$8:$F$42)-MIN(ROW('03.Muestra'!$D$8:$D$42))+1,""),ROW()-1766)),"")</f>
        <v>https://www.bocm.es/organismo-autonomo</v>
      </c>
      <c r="D1771" s="99" t="s">
        <v>94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Inicio/s/publicar-anuncio</v>
      </c>
      <c r="C1772" s="85" t="str" cm="1">
        <f t="array" ref="C1772">IFERROR(INDEX('03.Muestra'!$F$8:$F$42,SMALL(IF("Página Web"='03.Muestra'!$D$8:$D$42,ROW('03.Muestra'!$F$8:$F$42)-MIN(ROW('03.Muestra'!$D$8:$D$42))+1,""),ROW()-1766)),"")</f>
        <v>https://www.bocm.es/publicar-anuncio</v>
      </c>
      <c r="D1772" s="99" t="s">
        <v>94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Inicio/declaracion-de-accesibilidad</v>
      </c>
      <c r="C1773" s="85" t="str" cm="1">
        <f t="array" ref="C1773">IFERROR(INDEX('03.Muestra'!$F$8:$F$42,SMALL(IF("Página Web"='03.Muestra'!$D$8:$D$42,ROW('03.Muestra'!$F$8:$F$42)-MIN(ROW('03.Muestra'!$D$8:$D$42))+1,""),ROW()-1766)),"")</f>
        <v>https://www.bocm.es/declaracion-de-accesibilidad</v>
      </c>
      <c r="D1773" s="99" t="s">
        <v>94</v>
      </c>
      <c r="E1773" s="79" t="str">
        <f t="shared" si="92"/>
        <v/>
      </c>
      <c r="F1773" s="18"/>
      <c r="G1773" s="18"/>
      <c r="H1773" s="18"/>
      <c r="I1773" s="18"/>
      <c r="J1773" s="18"/>
      <c r="K1773" s="184"/>
    </row>
    <row r="1774" spans="1:11" ht="12" customHeight="1">
      <c r="A1774" s="39" t="str" cm="1">
        <f t="array" ref="A1774">IFERROR(INDEX('03.Muestra'!$B$8:$B$42,SMALL(IF("Página Web"='03.Muestra'!$D$8:$D$42,ROW('03.Muestra'!$B$8:$B$42)-MIN(ROW('03.Muestra'!$D$8:$D$42))+1,""),ROW()-1766)),"")</f>
        <v/>
      </c>
      <c r="B1774" s="85" t="str" cm="1">
        <f t="array" ref="B1774">IFERROR(INDEX('03.Muestra'!$C$8:$C$42,SMALL(IF("Página Web"='03.Muestra'!$D$8:$D$42,ROW('03.Muestra'!$C$8:$C$42)-MIN(ROW('03.Muestra'!$D$8:$D$42))+1,""),ROW()-1766)),"")</f>
        <v/>
      </c>
      <c r="C1774" s="85" t="str" cm="1">
        <f t="array" ref="C1774">IFERROR(INDEX('03.Muestra'!$F$8:$F$42,SMALL(IF("Página Web"='03.Muestra'!$D$8:$D$42,ROW('03.Muestra'!$F$8:$F$42)-MIN(ROW('03.Muestra'!$D$8:$D$42))+1,""),ROW()-1766)),"")</f>
        <v/>
      </c>
      <c r="D1774" s="99" t="str">
        <f t="shared" ref="D1774:D1801" si="93">IF(AND(B1774&lt;&gt;"",C1774&lt;&gt;""),"N/T","")</f>
        <v/>
      </c>
      <c r="E1774" s="79" t="str">
        <f t="shared" si="92"/>
        <v/>
      </c>
      <c r="F1774" s="18"/>
      <c r="G1774" s="18"/>
      <c r="H1774" s="18"/>
      <c r="I1774" s="18"/>
      <c r="J1774" s="18"/>
      <c r="K1774" s="184"/>
    </row>
    <row r="1775" spans="1:11" ht="12" customHeight="1">
      <c r="A1775" s="39" t="str" cm="1">
        <f t="array" ref="A1775">IFERROR(INDEX('03.Muestra'!$B$8:$B$42,SMALL(IF("Página Web"='03.Muestra'!$D$8:$D$42,ROW('03.Muestra'!$B$8:$B$42)-MIN(ROW('03.Muestra'!$D$8:$D$42))+1,""),ROW()-1766)),"")</f>
        <v/>
      </c>
      <c r="B1775" s="85" t="str" cm="1">
        <f t="array" ref="B1775">IFERROR(INDEX('03.Muestra'!$C$8:$C$42,SMALL(IF("Página Web"='03.Muestra'!$D$8:$D$42,ROW('03.Muestra'!$C$8:$C$42)-MIN(ROW('03.Muestra'!$D$8:$D$42))+1,""),ROW()-1766)),"")</f>
        <v/>
      </c>
      <c r="C1775" s="85" t="str" cm="1">
        <f t="array" ref="C1775">IFERROR(INDEX('03.Muestra'!$F$8:$F$42,SMALL(IF("Página Web"='03.Muestra'!$D$8:$D$42,ROW('03.Muestra'!$F$8:$F$42)-MIN(ROW('03.Muestra'!$D$8:$D$42))+1,""),ROW()-1766)),"")</f>
        <v/>
      </c>
      <c r="D1775" s="99" t="str">
        <f t="shared" si="93"/>
        <v/>
      </c>
      <c r="E1775" s="79" t="str">
        <f t="shared" si="92"/>
        <v/>
      </c>
      <c r="F1775" s="18"/>
      <c r="G1775" s="18"/>
      <c r="H1775" s="18"/>
      <c r="I1775" s="18"/>
      <c r="J1775" s="18"/>
      <c r="K1775" s="184"/>
    </row>
    <row r="1776" spans="1:11" ht="12" customHeight="1">
      <c r="A1776" s="39" t="str" cm="1">
        <f t="array" ref="A1776">IFERROR(INDEX('03.Muestra'!$B$8:$B$42,SMALL(IF("Página Web"='03.Muestra'!$D$8:$D$42,ROW('03.Muestra'!$B$8:$B$42)-MIN(ROW('03.Muestra'!$D$8:$D$42))+1,""),ROW()-1766)),"")</f>
        <v/>
      </c>
      <c r="B1776" s="85" t="str" cm="1">
        <f t="array" ref="B1776">IFERROR(INDEX('03.Muestra'!$C$8:$C$42,SMALL(IF("Página Web"='03.Muestra'!$D$8:$D$42,ROW('03.Muestra'!$C$8:$C$42)-MIN(ROW('03.Muestra'!$D$8:$D$42))+1,""),ROW()-1766)),"")</f>
        <v/>
      </c>
      <c r="C1776" s="85" t="str" cm="1">
        <f t="array" ref="C1776">IFERROR(INDEX('03.Muestra'!$F$8:$F$42,SMALL(IF("Página Web"='03.Muestra'!$D$8:$D$42,ROW('03.Muestra'!$F$8:$F$42)-MIN(ROW('03.Muestra'!$D$8:$D$42))+1,""),ROW()-1766)),"")</f>
        <v/>
      </c>
      <c r="D1776" s="99" t="str">
        <f t="shared" si="93"/>
        <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si="93"/>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https://www.bocm.es/</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Inicio/ultimo-bocm</v>
      </c>
      <c r="C1806" s="85" t="str" cm="1">
        <f t="array" ref="C1806">IFERROR(INDEX('03.Muestra'!$F$8:$F$42,SMALL(IF("Página Web"='03.Muestra'!$D$8:$D$42,ROW('03.Muestra'!$F$8:$F$42)-MIN(ROW('03.Muestra'!$D$8:$D$42))+1,""),ROW()-1804)),"")</f>
        <v>https://www.bocm.es/ultimo-bocm</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5</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Inicio/autentificacion-verificacion</v>
      </c>
      <c r="C1807" s="85" t="str" cm="1">
        <f t="array" ref="C1807">IFERROR(INDEX('03.Muestra'!$F$8:$F$42,SMALL(IF("Página Web"='03.Muestra'!$D$8:$D$42,ROW('03.Muestra'!$F$8:$F$42)-MIN(ROW('03.Muestra'!$D$8:$D$42))+1,""),ROW()-1804)),"")</f>
        <v>https://www.bocm.es/autentificacion-verificacion</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Inicio/que-es-bocm</v>
      </c>
      <c r="C1808" s="85" t="str" cm="1">
        <f t="array" ref="C1808">IFERROR(INDEX('03.Muestra'!$F$8:$F$42,SMALL(IF("Página Web"='03.Muestra'!$D$8:$D$42,ROW('03.Muestra'!$F$8:$F$42)-MIN(ROW('03.Muestra'!$D$8:$D$42))+1,""),ROW()-1804)),"")</f>
        <v>https://www.bocm.es/que-es-bocm</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Inicio/organismo-autonomo</v>
      </c>
      <c r="C1809" s="85" t="str" cm="1">
        <f t="array" ref="C1809">IFERROR(INDEX('03.Muestra'!$F$8:$F$42,SMALL(IF("Página Web"='03.Muestra'!$D$8:$D$42,ROW('03.Muestra'!$F$8:$F$42)-MIN(ROW('03.Muestra'!$D$8:$D$42))+1,""),ROW()-1804)),"")</f>
        <v>https://www.bocm.es/organismo-autonomo</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Inicio/s/publicar-anuncio</v>
      </c>
      <c r="C1810" s="85" t="str" cm="1">
        <f t="array" ref="C1810">IFERROR(INDEX('03.Muestra'!$F$8:$F$42,SMALL(IF("Página Web"='03.Muestra'!$D$8:$D$42,ROW('03.Muestra'!$F$8:$F$42)-MIN(ROW('03.Muestra'!$D$8:$D$42))+1,""),ROW()-1804)),"")</f>
        <v>https://www.bocm.es/publicar-anuncio</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Inicio/declaracion-de-accesibilidad</v>
      </c>
      <c r="C1811" s="85" t="str" cm="1">
        <f t="array" ref="C1811">IFERROR(INDEX('03.Muestra'!$F$8:$F$42,SMALL(IF("Página Web"='03.Muestra'!$D$8:$D$42,ROW('03.Muestra'!$F$8:$F$42)-MIN(ROW('03.Muestra'!$D$8:$D$42))+1,""),ROW()-1804)),"")</f>
        <v>https://www.bocm.es/declaracion-de-accesibilidad</v>
      </c>
      <c r="D1811" s="99" t="s">
        <v>92</v>
      </c>
      <c r="E1811" s="79" t="str">
        <f t="shared" si="94"/>
        <v/>
      </c>
      <c r="F1811" s="18"/>
      <c r="G1811" s="18"/>
      <c r="H1811" s="18"/>
      <c r="I1811" s="18"/>
      <c r="J1811" s="18"/>
      <c r="K1811" s="184"/>
    </row>
    <row r="1812" spans="1:11" ht="12" customHeight="1">
      <c r="A1812" s="39" t="str" cm="1">
        <f t="array" ref="A1812">IFERROR(INDEX('03.Muestra'!$B$8:$B$42,SMALL(IF("Página Web"='03.Muestra'!$D$8:$D$42,ROW('03.Muestra'!$B$8:$B$42)-MIN(ROW('03.Muestra'!$D$8:$D$42))+1,""),ROW()-1804)),"")</f>
        <v/>
      </c>
      <c r="B1812" s="85" t="str" cm="1">
        <f t="array" ref="B1812">IFERROR(INDEX('03.Muestra'!$C$8:$C$42,SMALL(IF("Página Web"='03.Muestra'!$D$8:$D$42,ROW('03.Muestra'!$C$8:$C$42)-MIN(ROW('03.Muestra'!$D$8:$D$42))+1,""),ROW()-1804)),"")</f>
        <v/>
      </c>
      <c r="C1812" s="85" t="str" cm="1">
        <f t="array" ref="C1812">IFERROR(INDEX('03.Muestra'!$F$8:$F$42,SMALL(IF("Página Web"='03.Muestra'!$D$8:$D$42,ROW('03.Muestra'!$F$8:$F$42)-MIN(ROW('03.Muestra'!$D$8:$D$42))+1,""),ROW()-1804)),"")</f>
        <v/>
      </c>
      <c r="D1812" s="99" t="str">
        <f t="shared" ref="D1812:D1839" si="95">IF(AND(B1812&lt;&gt;"",C1812&lt;&gt;""),"N/T","")</f>
        <v/>
      </c>
      <c r="E1812" s="79" t="str">
        <f t="shared" si="94"/>
        <v/>
      </c>
      <c r="F1812" s="18"/>
      <c r="G1812" s="18"/>
      <c r="H1812" s="18"/>
      <c r="I1812" s="18"/>
      <c r="J1812" s="18"/>
      <c r="K1812" s="184"/>
    </row>
    <row r="1813" spans="1:11" ht="12" customHeight="1">
      <c r="A1813" s="39" t="str" cm="1">
        <f t="array" ref="A1813">IFERROR(INDEX('03.Muestra'!$B$8:$B$42,SMALL(IF("Página Web"='03.Muestra'!$D$8:$D$42,ROW('03.Muestra'!$B$8:$B$42)-MIN(ROW('03.Muestra'!$D$8:$D$42))+1,""),ROW()-1804)),"")</f>
        <v/>
      </c>
      <c r="B1813" s="85" t="str" cm="1">
        <f t="array" ref="B1813">IFERROR(INDEX('03.Muestra'!$C$8:$C$42,SMALL(IF("Página Web"='03.Muestra'!$D$8:$D$42,ROW('03.Muestra'!$C$8:$C$42)-MIN(ROW('03.Muestra'!$D$8:$D$42))+1,""),ROW()-1804)),"")</f>
        <v/>
      </c>
      <c r="C1813" s="85" t="str" cm="1">
        <f t="array" ref="C1813">IFERROR(INDEX('03.Muestra'!$F$8:$F$42,SMALL(IF("Página Web"='03.Muestra'!$D$8:$D$42,ROW('03.Muestra'!$F$8:$F$42)-MIN(ROW('03.Muestra'!$D$8:$D$42))+1,""),ROW()-1804)),"")</f>
        <v/>
      </c>
      <c r="D1813" s="99" t="str">
        <f t="shared" si="95"/>
        <v/>
      </c>
      <c r="E1813" s="79" t="str">
        <f t="shared" si="94"/>
        <v/>
      </c>
      <c r="F1813" s="18"/>
      <c r="G1813" s="18"/>
      <c r="H1813" s="18"/>
      <c r="I1813" s="18"/>
      <c r="J1813" s="18"/>
      <c r="K1813" s="184"/>
    </row>
    <row r="1814" spans="1:11" ht="12" customHeight="1">
      <c r="A1814" s="39" t="str" cm="1">
        <f t="array" ref="A1814">IFERROR(INDEX('03.Muestra'!$B$8:$B$42,SMALL(IF("Página Web"='03.Muestra'!$D$8:$D$42,ROW('03.Muestra'!$B$8:$B$42)-MIN(ROW('03.Muestra'!$D$8:$D$42))+1,""),ROW()-1804)),"")</f>
        <v/>
      </c>
      <c r="B1814" s="85" t="str" cm="1">
        <f t="array" ref="B1814">IFERROR(INDEX('03.Muestra'!$C$8:$C$42,SMALL(IF("Página Web"='03.Muestra'!$D$8:$D$42,ROW('03.Muestra'!$C$8:$C$42)-MIN(ROW('03.Muestra'!$D$8:$D$42))+1,""),ROW()-1804)),"")</f>
        <v/>
      </c>
      <c r="C1814" s="85" t="str" cm="1">
        <f t="array" ref="C1814">IFERROR(INDEX('03.Muestra'!$F$8:$F$42,SMALL(IF("Página Web"='03.Muestra'!$D$8:$D$42,ROW('03.Muestra'!$F$8:$F$42)-MIN(ROW('03.Muestra'!$D$8:$D$42))+1,""),ROW()-1804)),"")</f>
        <v/>
      </c>
      <c r="D1814" s="99" t="str">
        <f t="shared" si="95"/>
        <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si="95"/>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https://www.bocm.es/</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Inicio/ultimo-bocm</v>
      </c>
      <c r="C1844" s="85" t="str" cm="1">
        <f t="array" ref="C1844">IFERROR(INDEX('03.Muestra'!$F$8:$F$42,SMALL(IF("Página Web"='03.Muestra'!$D$8:$D$42,ROW('03.Muestra'!$F$8:$F$42)-MIN(ROW('03.Muestra'!$D$8:$D$42))+1,""),ROW()-1842)),"")</f>
        <v>https://www.bocm.es/ultimo-bocm</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7</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Inicio/autentificacion-verificacion</v>
      </c>
      <c r="C1845" s="85" t="str" cm="1">
        <f t="array" ref="C1845">IFERROR(INDEX('03.Muestra'!$F$8:$F$42,SMALL(IF("Página Web"='03.Muestra'!$D$8:$D$42,ROW('03.Muestra'!$F$8:$F$42)-MIN(ROW('03.Muestra'!$D$8:$D$42))+1,""),ROW()-1842)),"")</f>
        <v>https://www.bocm.es/autentificacion-verificacion</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Inicio/que-es-bocm</v>
      </c>
      <c r="C1846" s="85" t="str" cm="1">
        <f t="array" ref="C1846">IFERROR(INDEX('03.Muestra'!$F$8:$F$42,SMALL(IF("Página Web"='03.Muestra'!$D$8:$D$42,ROW('03.Muestra'!$F$8:$F$42)-MIN(ROW('03.Muestra'!$D$8:$D$42))+1,""),ROW()-1842)),"")</f>
        <v>https://www.bocm.es/que-es-bocm</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Inicio/organismo-autonomo</v>
      </c>
      <c r="C1847" s="85" t="str" cm="1">
        <f t="array" ref="C1847">IFERROR(INDEX('03.Muestra'!$F$8:$F$42,SMALL(IF("Página Web"='03.Muestra'!$D$8:$D$42,ROW('03.Muestra'!$F$8:$F$42)-MIN(ROW('03.Muestra'!$D$8:$D$42))+1,""),ROW()-1842)),"")</f>
        <v>https://www.bocm.es/organismo-autonomo</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Inicio/s/publicar-anuncio</v>
      </c>
      <c r="C1848" s="85" t="str" cm="1">
        <f t="array" ref="C1848">IFERROR(INDEX('03.Muestra'!$F$8:$F$42,SMALL(IF("Página Web"='03.Muestra'!$D$8:$D$42,ROW('03.Muestra'!$F$8:$F$42)-MIN(ROW('03.Muestra'!$D$8:$D$42))+1,""),ROW()-1842)),"")</f>
        <v>https://www.bocm.es/publicar-anuncio</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Inicio/declaracion-de-accesibilidad</v>
      </c>
      <c r="C1849" s="85" t="str" cm="1">
        <f t="array" ref="C1849">IFERROR(INDEX('03.Muestra'!$F$8:$F$42,SMALL(IF("Página Web"='03.Muestra'!$D$8:$D$42,ROW('03.Muestra'!$F$8:$F$42)-MIN(ROW('03.Muestra'!$D$8:$D$42))+1,""),ROW()-1842)),"")</f>
        <v>https://www.bocm.es/declaracion-de-accesibilidad</v>
      </c>
      <c r="D1849" s="99" t="s">
        <v>104</v>
      </c>
      <c r="E1849" s="79" t="str">
        <f t="shared" si="96"/>
        <v/>
      </c>
      <c r="F1849" s="18"/>
      <c r="G1849" s="18"/>
      <c r="H1849" s="18"/>
      <c r="I1849" s="18"/>
      <c r="J1849" s="18"/>
      <c r="K1849" s="184"/>
    </row>
    <row r="1850" spans="1:11" ht="12" customHeight="1">
      <c r="A1850" s="39" t="str" cm="1">
        <f t="array" ref="A1850">IFERROR(INDEX('03.Muestra'!$B$8:$B$42,SMALL(IF("Página Web"='03.Muestra'!$D$8:$D$42,ROW('03.Muestra'!$B$8:$B$42)-MIN(ROW('03.Muestra'!$D$8:$D$42))+1,""),ROW()-1842)),"")</f>
        <v/>
      </c>
      <c r="B1850" s="85" t="str" cm="1">
        <f t="array" ref="B1850">IFERROR(INDEX('03.Muestra'!$C$8:$C$42,SMALL(IF("Página Web"='03.Muestra'!$D$8:$D$42,ROW('03.Muestra'!$C$8:$C$42)-MIN(ROW('03.Muestra'!$D$8:$D$42))+1,""),ROW()-1842)),"")</f>
        <v/>
      </c>
      <c r="C1850" s="85" t="str" cm="1">
        <f t="array" ref="C1850">IFERROR(INDEX('03.Muestra'!$F$8:$F$42,SMALL(IF("Página Web"='03.Muestra'!$D$8:$D$42,ROW('03.Muestra'!$F$8:$F$42)-MIN(ROW('03.Muestra'!$D$8:$D$42))+1,""),ROW()-1842)),"")</f>
        <v/>
      </c>
      <c r="D1850" s="99" t="str">
        <f t="shared" ref="D1850:D1877" si="97">IF(AND(B1850&lt;&gt;"",C1850&lt;&gt;""),"N/T","")</f>
        <v/>
      </c>
      <c r="E1850" s="79" t="str">
        <f t="shared" si="96"/>
        <v/>
      </c>
      <c r="F1850" s="18"/>
      <c r="G1850" s="18"/>
      <c r="H1850" s="18"/>
      <c r="I1850" s="18"/>
      <c r="J1850" s="18"/>
      <c r="K1850" s="184"/>
    </row>
    <row r="1851" spans="1:11" ht="12" customHeight="1">
      <c r="A1851" s="39" t="str" cm="1">
        <f t="array" ref="A1851">IFERROR(INDEX('03.Muestra'!$B$8:$B$42,SMALL(IF("Página Web"='03.Muestra'!$D$8:$D$42,ROW('03.Muestra'!$B$8:$B$42)-MIN(ROW('03.Muestra'!$D$8:$D$42))+1,""),ROW()-1842)),"")</f>
        <v/>
      </c>
      <c r="B1851" s="85" t="str" cm="1">
        <f t="array" ref="B1851">IFERROR(INDEX('03.Muestra'!$C$8:$C$42,SMALL(IF("Página Web"='03.Muestra'!$D$8:$D$42,ROW('03.Muestra'!$C$8:$C$42)-MIN(ROW('03.Muestra'!$D$8:$D$42))+1,""),ROW()-1842)),"")</f>
        <v/>
      </c>
      <c r="C1851" s="85" t="str" cm="1">
        <f t="array" ref="C1851">IFERROR(INDEX('03.Muestra'!$F$8:$F$42,SMALL(IF("Página Web"='03.Muestra'!$D$8:$D$42,ROW('03.Muestra'!$F$8:$F$42)-MIN(ROW('03.Muestra'!$D$8:$D$42))+1,""),ROW()-1842)),"")</f>
        <v/>
      </c>
      <c r="D1851" s="99" t="str">
        <f t="shared" si="97"/>
        <v/>
      </c>
      <c r="E1851" s="79" t="str">
        <f t="shared" si="96"/>
        <v/>
      </c>
      <c r="F1851" s="18"/>
      <c r="G1851" s="18"/>
      <c r="H1851" s="18"/>
      <c r="I1851" s="18"/>
      <c r="J1851" s="18"/>
      <c r="K1851" s="184"/>
    </row>
    <row r="1852" spans="1:11" ht="12" customHeight="1">
      <c r="A1852" s="39" t="str" cm="1">
        <f t="array" ref="A1852">IFERROR(INDEX('03.Muestra'!$B$8:$B$42,SMALL(IF("Página Web"='03.Muestra'!$D$8:$D$42,ROW('03.Muestra'!$B$8:$B$42)-MIN(ROW('03.Muestra'!$D$8:$D$42))+1,""),ROW()-1842)),"")</f>
        <v/>
      </c>
      <c r="B1852" s="85" t="str" cm="1">
        <f t="array" ref="B1852">IFERROR(INDEX('03.Muestra'!$C$8:$C$42,SMALL(IF("Página Web"='03.Muestra'!$D$8:$D$42,ROW('03.Muestra'!$C$8:$C$42)-MIN(ROW('03.Muestra'!$D$8:$D$42))+1,""),ROW()-1842)),"")</f>
        <v/>
      </c>
      <c r="C1852" s="85" t="str" cm="1">
        <f t="array" ref="C1852">IFERROR(INDEX('03.Muestra'!$F$8:$F$42,SMALL(IF("Página Web"='03.Muestra'!$D$8:$D$42,ROW('03.Muestra'!$F$8:$F$42)-MIN(ROW('03.Muestra'!$D$8:$D$42))+1,""),ROW()-1842)),"")</f>
        <v/>
      </c>
      <c r="D1852" s="99" t="str">
        <f t="shared" si="97"/>
        <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si="97"/>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https://www.bocm.es/</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Inicio/ultimo-bocm</v>
      </c>
      <c r="C1882" s="85" t="str" cm="1">
        <f t="array" ref="C1882">IFERROR(INDEX('03.Muestra'!$F$8:$F$42,SMALL(IF("Página Web"='03.Muestra'!$D$8:$D$42,ROW('03.Muestra'!$F$8:$F$42)-MIN(ROW('03.Muestra'!$D$8:$D$42))+1,""),ROW()-1880)),"")</f>
        <v>https://www.bocm.es/ultimo-bocm</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7</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Inicio/autentificacion-verificacion</v>
      </c>
      <c r="C1883" s="85" t="str" cm="1">
        <f t="array" ref="C1883">IFERROR(INDEX('03.Muestra'!$F$8:$F$42,SMALL(IF("Página Web"='03.Muestra'!$D$8:$D$42,ROW('03.Muestra'!$F$8:$F$42)-MIN(ROW('03.Muestra'!$D$8:$D$42))+1,""),ROW()-1880)),"")</f>
        <v>https://www.bocm.es/autentificacion-verificacion</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Inicio/que-es-bocm</v>
      </c>
      <c r="C1884" s="85" t="str" cm="1">
        <f t="array" ref="C1884">IFERROR(INDEX('03.Muestra'!$F$8:$F$42,SMALL(IF("Página Web"='03.Muestra'!$D$8:$D$42,ROW('03.Muestra'!$F$8:$F$42)-MIN(ROW('03.Muestra'!$D$8:$D$42))+1,""),ROW()-1880)),"")</f>
        <v>https://www.bocm.es/que-es-bocm</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Inicio/organismo-autonomo</v>
      </c>
      <c r="C1885" s="85" t="str" cm="1">
        <f t="array" ref="C1885">IFERROR(INDEX('03.Muestra'!$F$8:$F$42,SMALL(IF("Página Web"='03.Muestra'!$D$8:$D$42,ROW('03.Muestra'!$F$8:$F$42)-MIN(ROW('03.Muestra'!$D$8:$D$42))+1,""),ROW()-1880)),"")</f>
        <v>https://www.bocm.es/organismo-autonomo</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Inicio/s/publicar-anuncio</v>
      </c>
      <c r="C1886" s="85" t="str" cm="1">
        <f t="array" ref="C1886">IFERROR(INDEX('03.Muestra'!$F$8:$F$42,SMALL(IF("Página Web"='03.Muestra'!$D$8:$D$42,ROW('03.Muestra'!$F$8:$F$42)-MIN(ROW('03.Muestra'!$D$8:$D$42))+1,""),ROW()-1880)),"")</f>
        <v>https://www.bocm.es/publicar-anuncio</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Inicio/declaracion-de-accesibilidad</v>
      </c>
      <c r="C1887" s="85" t="str" cm="1">
        <f t="array" ref="C1887">IFERROR(INDEX('03.Muestra'!$F$8:$F$42,SMALL(IF("Página Web"='03.Muestra'!$D$8:$D$42,ROW('03.Muestra'!$F$8:$F$42)-MIN(ROW('03.Muestra'!$D$8:$D$42))+1,""),ROW()-1880)),"")</f>
        <v>https://www.bocm.es/declaracion-de-accesibilidad</v>
      </c>
      <c r="D1887" s="99" t="s">
        <v>94</v>
      </c>
      <c r="E1887" s="79" t="str">
        <f t="shared" si="98"/>
        <v/>
      </c>
      <c r="F1887" s="18"/>
      <c r="G1887" s="18"/>
      <c r="H1887" s="18"/>
      <c r="I1887" s="18"/>
      <c r="J1887" s="18"/>
      <c r="K1887" s="184"/>
    </row>
    <row r="1888" spans="1:11" ht="12" customHeight="1">
      <c r="A1888" s="39" t="str" cm="1">
        <f t="array" ref="A1888">IFERROR(INDEX('03.Muestra'!$B$8:$B$42,SMALL(IF("Página Web"='03.Muestra'!$D$8:$D$42,ROW('03.Muestra'!$B$8:$B$42)-MIN(ROW('03.Muestra'!$D$8:$D$42))+1,""),ROW()-1880)),"")</f>
        <v/>
      </c>
      <c r="B1888" s="85" t="str" cm="1">
        <f t="array" ref="B1888">IFERROR(INDEX('03.Muestra'!$C$8:$C$42,SMALL(IF("Página Web"='03.Muestra'!$D$8:$D$42,ROW('03.Muestra'!$C$8:$C$42)-MIN(ROW('03.Muestra'!$D$8:$D$42))+1,""),ROW()-1880)),"")</f>
        <v/>
      </c>
      <c r="C1888" s="85" t="str" cm="1">
        <f t="array" ref="C1888">IFERROR(INDEX('03.Muestra'!$F$8:$F$42,SMALL(IF("Página Web"='03.Muestra'!$D$8:$D$42,ROW('03.Muestra'!$F$8:$F$42)-MIN(ROW('03.Muestra'!$D$8:$D$42))+1,""),ROW()-1880)),"")</f>
        <v/>
      </c>
      <c r="D1888" s="99" t="str">
        <f t="shared" ref="D1888:D1915" si="99">IF(AND(B1888&lt;&gt;"",C1888&lt;&gt;""),"N/T","")</f>
        <v/>
      </c>
      <c r="E1888" s="79" t="str">
        <f t="shared" si="98"/>
        <v/>
      </c>
      <c r="F1888" s="18"/>
      <c r="G1888" s="18"/>
      <c r="H1888" s="18"/>
      <c r="I1888" s="18"/>
      <c r="J1888" s="18"/>
      <c r="K1888" s="184"/>
    </row>
    <row r="1889" spans="1:11" ht="12" customHeight="1">
      <c r="A1889" s="39" t="str" cm="1">
        <f t="array" ref="A1889">IFERROR(INDEX('03.Muestra'!$B$8:$B$42,SMALL(IF("Página Web"='03.Muestra'!$D$8:$D$42,ROW('03.Muestra'!$B$8:$B$42)-MIN(ROW('03.Muestra'!$D$8:$D$42))+1,""),ROW()-1880)),"")</f>
        <v/>
      </c>
      <c r="B1889" s="85" t="str" cm="1">
        <f t="array" ref="B1889">IFERROR(INDEX('03.Muestra'!$C$8:$C$42,SMALL(IF("Página Web"='03.Muestra'!$D$8:$D$42,ROW('03.Muestra'!$C$8:$C$42)-MIN(ROW('03.Muestra'!$D$8:$D$42))+1,""),ROW()-1880)),"")</f>
        <v/>
      </c>
      <c r="C1889" s="85" t="str" cm="1">
        <f t="array" ref="C1889">IFERROR(INDEX('03.Muestra'!$F$8:$F$42,SMALL(IF("Página Web"='03.Muestra'!$D$8:$D$42,ROW('03.Muestra'!$F$8:$F$42)-MIN(ROW('03.Muestra'!$D$8:$D$42))+1,""),ROW()-1880)),"")</f>
        <v/>
      </c>
      <c r="D1889" s="99" t="str">
        <f t="shared" si="99"/>
        <v/>
      </c>
      <c r="E1889" s="79" t="str">
        <f t="shared" si="98"/>
        <v/>
      </c>
      <c r="F1889" s="18"/>
      <c r="G1889" s="18"/>
      <c r="H1889" s="18"/>
      <c r="I1889" s="18"/>
      <c r="J1889" s="18"/>
      <c r="K1889" s="184"/>
    </row>
    <row r="1890" spans="1:11" ht="12" customHeight="1">
      <c r="A1890" s="39" t="str" cm="1">
        <f t="array" ref="A1890">IFERROR(INDEX('03.Muestra'!$B$8:$B$42,SMALL(IF("Página Web"='03.Muestra'!$D$8:$D$42,ROW('03.Muestra'!$B$8:$B$42)-MIN(ROW('03.Muestra'!$D$8:$D$42))+1,""),ROW()-1880)),"")</f>
        <v/>
      </c>
      <c r="B1890" s="85" t="str" cm="1">
        <f t="array" ref="B1890">IFERROR(INDEX('03.Muestra'!$C$8:$C$42,SMALL(IF("Página Web"='03.Muestra'!$D$8:$D$42,ROW('03.Muestra'!$C$8:$C$42)-MIN(ROW('03.Muestra'!$D$8:$D$42))+1,""),ROW()-1880)),"")</f>
        <v/>
      </c>
      <c r="C1890" s="85" t="str" cm="1">
        <f t="array" ref="C1890">IFERROR(INDEX('03.Muestra'!$F$8:$F$42,SMALL(IF("Página Web"='03.Muestra'!$D$8:$D$42,ROW('03.Muestra'!$F$8:$F$42)-MIN(ROW('03.Muestra'!$D$8:$D$42))+1,""),ROW()-1880)),"")</f>
        <v/>
      </c>
      <c r="D1890" s="99" t="str">
        <f t="shared" si="99"/>
        <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si="99"/>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topLeftCell="B984" zoomScale="90" zoomScaleNormal="90" workbookViewId="0">
      <selection activeCell="D1691" sqref="D169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8</v>
      </c>
      <c r="H12" s="42">
        <f ca="1">IF(($G$15+$K$15)=0,0,G12/($G$15+$K$15))</f>
        <v>0.17777777777777778</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37</v>
      </c>
      <c r="H14" s="42">
        <f ca="1">IF(($G$15+$K$15)=0,0,G14/($G$15+$K$15))</f>
        <v>0.82222222222222219</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194</v>
      </c>
      <c r="D18" s="25" t="s">
        <v>101</v>
      </c>
      <c r="K18" s="18"/>
      <c r="L18" s="18"/>
    </row>
    <row r="19" spans="1:30" ht="12" customHeight="1">
      <c r="A19" s="39" cm="1">
        <f t="array" ref="A19">IFERROR(INDEX('03.Muestra'!$B$8:$B$42,SMALL(IF("Documento no web"='03.Muestra'!$D$8:$D$42,ROW('03.Muestra'!$B$8:$B$42)-MIN(ROW('03.Muestra'!$D$8:$D$42))+1,""),ROW()-18)),"")</f>
        <v>8</v>
      </c>
      <c r="B19" s="85" t="str" cm="1">
        <f t="array" ref="B19">IFERROR(INDEX('03.Muestra'!$C$8:$C$42,SMALL(IF("Documento no web"='03.Muestra'!$D$8:$D$42,ROW('03.Muestra'!$C$8:$C$42)-MIN(ROW('03.Muestra'!$D$8:$D$42))+1,""),ROW()-18)),"")</f>
        <v>Inicio/Descargar boletin completo</v>
      </c>
      <c r="C19" s="85" t="str" cm="1">
        <f t="array" ref="C19">IFERROR(INDEX('03.Muestra'!$F$8:$F$42,SMALL(IF("Documento no web"='03.Muestra'!$D$8:$D$42,ROW('03.Muestra'!$F$8:$F$42)-MIN(ROW('03.Muestra'!$D$8:$D$42))+1,""),ROW()-18)),"")</f>
        <v>https://www.bocm.es/boletin/CM_Boletin_BOCM/2024/01/10/00800.PDF</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IFERROR(INDEX('03.Muestra'!$B$8:$B$42,SMALL(IF("Documento no web"='03.Muestra'!$D$8:$D$42,ROW('03.Muestra'!$B$8:$B$42)-MIN(ROW('03.Muestra'!$D$8:$D$42))+1,""),ROW()-56)),"")</f>
        <v>8</v>
      </c>
      <c r="B57" s="85" t="str" cm="1">
        <f t="array" ref="B57">IFERROR(INDEX('03.Muestra'!$C$8:$C$42,SMALL(IF("Documento no web"='03.Muestra'!$D$8:$D$42,ROW('03.Muestra'!$C$8:$C$42)-MIN(ROW('03.Muestra'!$D$8:$D$42))+1,""),ROW()-56)),"")</f>
        <v>Inicio/Descargar boletin completo</v>
      </c>
      <c r="C57" s="85" t="str" cm="1">
        <f t="array" ref="C57">IFERROR(INDEX('03.Muestra'!$F$8:$F$42,SMALL(IF("Documento no web"='03.Muestra'!$D$8:$D$42,ROW('03.Muestra'!$F$8:$F$42)-MIN(ROW('03.Muestra'!$D$8:$D$42))+1,""),ROW()-56)),"")</f>
        <v>https://www.bocm.es/boletin/CM_Boletin_BOCM/2024/01/10/00800.PDF</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1</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IFERROR(INDEX('03.Muestra'!$B$8:$B$42,SMALL(IF("Documento no web"='03.Muestra'!$D$8:$D$42,ROW('03.Muestra'!$B$8:$B$42)-MIN(ROW('03.Muestra'!$D$8:$D$42))+1,""),ROW()-94)),"")</f>
        <v>8</v>
      </c>
      <c r="B95" s="85" t="str" cm="1">
        <f t="array" ref="B95">IFERROR(INDEX('03.Muestra'!$C$8:$C$42,SMALL(IF("Documento no web"='03.Muestra'!$D$8:$D$42,ROW('03.Muestra'!$C$8:$C$42)-MIN(ROW('03.Muestra'!$D$8:$D$42))+1,""),ROW()-94)),"")</f>
        <v>Inicio/Descargar boletin completo</v>
      </c>
      <c r="C95" s="85" t="str" cm="1">
        <f t="array" ref="C95">IFERROR(INDEX('03.Muestra'!$F$8:$F$42,SMALL(IF("Documento no web"='03.Muestra'!$D$8:$D$42,ROW('03.Muestra'!$F$8:$F$42)-MIN(ROW('03.Muestra'!$D$8:$D$42))+1,""),ROW()-94)),"")</f>
        <v>https://www.bocm.es/boletin/CM_Boletin_BOCM/2024/01/10/00800.PDF</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1</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IFERROR(INDEX('03.Muestra'!$B$8:$B$42,SMALL(IF("Documento no web"='03.Muestra'!$D$8:$D$42,ROW('03.Muestra'!$B$8:$B$42)-MIN(ROW('03.Muestra'!$D$8:$D$42))+1,""),ROW()-132)),"")</f>
        <v>8</v>
      </c>
      <c r="B133" s="85" t="str" cm="1">
        <f t="array" ref="B133">IFERROR(INDEX('03.Muestra'!$C$8:$C$42,SMALL(IF("Documento no web"='03.Muestra'!$D$8:$D$42,ROW('03.Muestra'!$C$8:$C$42)-MIN(ROW('03.Muestra'!$D$8:$D$42))+1,""),ROW()-132)),"")</f>
        <v>Inicio/Descargar boletin completo</v>
      </c>
      <c r="C133" s="85" t="str" cm="1">
        <f t="array" ref="C133">IFERROR(INDEX('03.Muestra'!$F$8:$F$42,SMALL(IF("Documento no web"='03.Muestra'!$D$8:$D$42,ROW('03.Muestra'!$F$8:$F$42)-MIN(ROW('03.Muestra'!$D$8:$D$42))+1,""),ROW()-132)),"")</f>
        <v>https://www.bocm.es/boletin/CM_Boletin_BOCM/2024/01/10/00800.PDF</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1</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IFERROR(INDEX('03.Muestra'!$B$8:$B$42,SMALL(IF("Documento no web"='03.Muestra'!$D$8:$D$42,ROW('03.Muestra'!$B$8:$B$42)-MIN(ROW('03.Muestra'!$D$8:$D$42))+1,""),ROW()-170)),"")</f>
        <v>8</v>
      </c>
      <c r="B171" s="85" t="str" cm="1">
        <f t="array" ref="B171">IFERROR(INDEX('03.Muestra'!$C$8:$C$42,SMALL(IF("Documento no web"='03.Muestra'!$D$8:$D$42,ROW('03.Muestra'!$C$8:$C$42)-MIN(ROW('03.Muestra'!$D$8:$D$42))+1,""),ROW()-170)),"")</f>
        <v>Inicio/Descargar boletin completo</v>
      </c>
      <c r="C171" s="85" t="str" cm="1">
        <f t="array" ref="C171">IFERROR(INDEX('03.Muestra'!$F$8:$F$42,SMALL(IF("Documento no web"='03.Muestra'!$D$8:$D$42,ROW('03.Muestra'!$F$8:$F$42)-MIN(ROW('03.Muestra'!$D$8:$D$42))+1,""),ROW()-170)),"")</f>
        <v>https://www.bocm.es/boletin/CM_Boletin_BOCM/2024/01/10/00800.PDF</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1</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IFERROR(INDEX('03.Muestra'!$B$8:$B$42,SMALL(IF("Documento no web"='03.Muestra'!$D$8:$D$42,ROW('03.Muestra'!$B$8:$B$42)-MIN(ROW('03.Muestra'!$D$8:$D$42))+1,""),ROW()-208)),"")</f>
        <v>8</v>
      </c>
      <c r="B209" s="85" t="str" cm="1">
        <f t="array" ref="B209">IFERROR(INDEX('03.Muestra'!$C$8:$C$42,SMALL(IF("Documento no web"='03.Muestra'!$D$8:$D$42,ROW('03.Muestra'!$C$8:$C$42)-MIN(ROW('03.Muestra'!$D$8:$D$42))+1,""),ROW()-208)),"")</f>
        <v>Inicio/Descargar boletin completo</v>
      </c>
      <c r="C209" s="85" t="str" cm="1">
        <f t="array" ref="C209">IFERROR(INDEX('03.Muestra'!$F$8:$F$42,SMALL(IF("Documento no web"='03.Muestra'!$D$8:$D$42,ROW('03.Muestra'!$F$8:$F$42)-MIN(ROW('03.Muestra'!$D$8:$D$42))+1,""),ROW()-208)),"")</f>
        <v>https://www.bocm.es/boletin/CM_Boletin_BOCM/2024/01/10/00800.PDF</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1</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IFERROR(INDEX('03.Muestra'!$B$8:$B$42,SMALL(IF("Documento no web"='03.Muestra'!$D$8:$D$42,ROW('03.Muestra'!$B$8:$B$42)-MIN(ROW('03.Muestra'!$D$8:$D$42))+1,""),ROW()-246)),"")</f>
        <v>8</v>
      </c>
      <c r="B247" s="85" t="str" cm="1">
        <f t="array" ref="B247">IFERROR(INDEX('03.Muestra'!$C$8:$C$42,SMALL(IF("Documento no web"='03.Muestra'!$D$8:$D$42,ROW('03.Muestra'!$C$8:$C$42)-MIN(ROW('03.Muestra'!$D$8:$D$42))+1,""),ROW()-246)),"")</f>
        <v>Inicio/Descargar boletin completo</v>
      </c>
      <c r="C247" s="85" t="str" cm="1">
        <f t="array" ref="C247">IFERROR(INDEX('03.Muestra'!$F$8:$F$42,SMALL(IF("Documento no web"='03.Muestra'!$D$8:$D$42,ROW('03.Muestra'!$F$8:$F$42)-MIN(ROW('03.Muestra'!$D$8:$D$42))+1,""),ROW()-246)),"")</f>
        <v>https://www.bocm.es/boletin/CM_Boletin_BOCM/2024/01/10/00800.PDF</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1</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IFERROR(INDEX('03.Muestra'!$B$8:$B$42,SMALL(IF("Documento no web"='03.Muestra'!$D$8:$D$42,ROW('03.Muestra'!$B$8:$B$42)-MIN(ROW('03.Muestra'!$D$8:$D$42))+1,""),ROW()-284)),"")</f>
        <v>8</v>
      </c>
      <c r="B285" s="85" t="str" cm="1">
        <f t="array" ref="B285">IFERROR(INDEX('03.Muestra'!$C$8:$C$42,SMALL(IF("Documento no web"='03.Muestra'!$D$8:$D$42,ROW('03.Muestra'!$C$8:$C$42)-MIN(ROW('03.Muestra'!$D$8:$D$42))+1,""),ROW()-284)),"")</f>
        <v>Inicio/Descargar boletin completo</v>
      </c>
      <c r="C285" s="85" t="str" cm="1">
        <f t="array" ref="C285">IFERROR(INDEX('03.Muestra'!$F$8:$F$42,SMALL(IF("Documento no web"='03.Muestra'!$D$8:$D$42,ROW('03.Muestra'!$F$8:$F$42)-MIN(ROW('03.Muestra'!$D$8:$D$42))+1,""),ROW()-284)),"")</f>
        <v>https://www.bocm.es/boletin/CM_Boletin_BOCM/2024/01/10/00800.PDF</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1</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IFERROR(INDEX('03.Muestra'!$B$8:$B$42,SMALL(IF("Documento no web"='03.Muestra'!$D$8:$D$42,ROW('03.Muestra'!$B$8:$B$42)-MIN(ROW('03.Muestra'!$D$8:$D$42))+1,""),ROW()-322)),"")</f>
        <v>8</v>
      </c>
      <c r="B323" s="85" t="str" cm="1">
        <f t="array" ref="B323">IFERROR(INDEX('03.Muestra'!$C$8:$C$42,SMALL(IF("Documento no web"='03.Muestra'!$D$8:$D$42,ROW('03.Muestra'!$C$8:$C$42)-MIN(ROW('03.Muestra'!$D$8:$D$42))+1,""),ROW()-322)),"")</f>
        <v>Inicio/Descargar boletin completo</v>
      </c>
      <c r="C323" s="85" t="str" cm="1">
        <f t="array" ref="C323">IFERROR(INDEX('03.Muestra'!$F$8:$F$42,SMALL(IF("Documento no web"='03.Muestra'!$D$8:$D$42,ROW('03.Muestra'!$F$8:$F$42)-MIN(ROW('03.Muestra'!$D$8:$D$42))+1,""),ROW()-322)),"")</f>
        <v>https://www.bocm.es/boletin/CM_Boletin_BOCM/2024/01/10/00800.PDF</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1</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IFERROR(INDEX('03.Muestra'!$B$8:$B$42,SMALL(IF("Documento no web"='03.Muestra'!$D$8:$D$42,ROW('03.Muestra'!$B$8:$B$42)-MIN(ROW('03.Muestra'!$D$8:$D$42))+1,""),ROW()-360)),"")</f>
        <v>8</v>
      </c>
      <c r="B361" s="85" t="str" cm="1">
        <f t="array" ref="B361">IFERROR(INDEX('03.Muestra'!$C$8:$C$42,SMALL(IF("Documento no web"='03.Muestra'!$D$8:$D$42,ROW('03.Muestra'!$C$8:$C$42)-MIN(ROW('03.Muestra'!$D$8:$D$42))+1,""),ROW()-360)),"")</f>
        <v>Inicio/Descargar boletin completo</v>
      </c>
      <c r="C361" s="85" t="str" cm="1">
        <f t="array" ref="C361">IFERROR(INDEX('03.Muestra'!$F$8:$F$42,SMALL(IF("Documento no web"='03.Muestra'!$D$8:$D$42,ROW('03.Muestra'!$F$8:$F$42)-MIN(ROW('03.Muestra'!$D$8:$D$42))+1,""),ROW()-360)),"")</f>
        <v>https://www.bocm.es/boletin/CM_Boletin_BOCM/2024/01/10/00800.PDF</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1</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IFERROR(INDEX('03.Muestra'!$B$8:$B$42,SMALL(IF("Documento no web"='03.Muestra'!$D$8:$D$42,ROW('03.Muestra'!$B$8:$B$42)-MIN(ROW('03.Muestra'!$D$8:$D$42))+1,""),ROW()-398)),"")</f>
        <v>8</v>
      </c>
      <c r="B399" s="85" t="str" cm="1">
        <f t="array" ref="B399">IFERROR(INDEX('03.Muestra'!$C$8:$C$42,SMALL(IF("Documento no web"='03.Muestra'!$D$8:$D$42,ROW('03.Muestra'!$C$8:$C$42)-MIN(ROW('03.Muestra'!$D$8:$D$42))+1,""),ROW()-398)),"")</f>
        <v>Inicio/Descargar boletin completo</v>
      </c>
      <c r="C399" s="85" t="str" cm="1">
        <f t="array" ref="C399">IFERROR(INDEX('03.Muestra'!$F$8:$F$42,SMALL(IF("Documento no web"='03.Muestra'!$D$8:$D$42,ROW('03.Muestra'!$F$8:$F$42)-MIN(ROW('03.Muestra'!$D$8:$D$42))+1,""),ROW()-398)),"")</f>
        <v>https://www.bocm.es/boletin/CM_Boletin_BOCM/2024/01/10/00800.PDF</v>
      </c>
      <c r="D399" s="99" t="s">
        <v>104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1</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IFERROR(INDEX('03.Muestra'!$B$8:$B$42,SMALL(IF("Documento no web"='03.Muestra'!$D$8:$D$42,ROW('03.Muestra'!$B$8:$B$42)-MIN(ROW('03.Muestra'!$D$8:$D$42))+1,""),ROW()-436)),"")</f>
        <v>8</v>
      </c>
      <c r="B437" s="85" t="str" cm="1">
        <f t="array" ref="B437">IFERROR(INDEX('03.Muestra'!$C$8:$C$42,SMALL(IF("Documento no web"='03.Muestra'!$D$8:$D$42,ROW('03.Muestra'!$C$8:$C$42)-MIN(ROW('03.Muestra'!$D$8:$D$42))+1,""),ROW()-436)),"")</f>
        <v>Inicio/Descargar boletin completo</v>
      </c>
      <c r="C437" s="85" t="str" cm="1">
        <f t="array" ref="C437">IFERROR(INDEX('03.Muestra'!$F$8:$F$42,SMALL(IF("Documento no web"='03.Muestra'!$D$8:$D$42,ROW('03.Muestra'!$F$8:$F$42)-MIN(ROW('03.Muestra'!$D$8:$D$42))+1,""),ROW()-436)),"")</f>
        <v>https://www.bocm.es/boletin/CM_Boletin_BOCM/2024/01/10/00800.PDF</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1</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IFERROR(INDEX('03.Muestra'!$B$8:$B$42,SMALL(IF("Documento no web"='03.Muestra'!$D$8:$D$42,ROW('03.Muestra'!$B$8:$B$42)-MIN(ROW('03.Muestra'!$D$8:$D$42))+1,""),ROW()-474)),"")</f>
        <v>8</v>
      </c>
      <c r="B475" s="85" t="str" cm="1">
        <f t="array" ref="B475">IFERROR(INDEX('03.Muestra'!$C$8:$C$42,SMALL(IF("Documento no web"='03.Muestra'!$D$8:$D$42,ROW('03.Muestra'!$C$8:$C$42)-MIN(ROW('03.Muestra'!$D$8:$D$42))+1,""),ROW()-474)),"")</f>
        <v>Inicio/Descargar boletin completo</v>
      </c>
      <c r="C475" s="85" t="str" cm="1">
        <f t="array" ref="C475">IFERROR(INDEX('03.Muestra'!$F$8:$F$42,SMALL(IF("Documento no web"='03.Muestra'!$D$8:$D$42,ROW('03.Muestra'!$F$8:$F$42)-MIN(ROW('03.Muestra'!$D$8:$D$42))+1,""),ROW()-474)),"")</f>
        <v>https://www.bocm.es/boletin/CM_Boletin_BOCM/2024/01/10/00800.PDF</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IFERROR(INDEX('03.Muestra'!$B$8:$B$42,SMALL(IF("Documento no web"='03.Muestra'!$D$8:$D$42,ROW('03.Muestra'!$B$8:$B$42)-MIN(ROW('03.Muestra'!$D$8:$D$42))+1,""),ROW()-512)),"")</f>
        <v>8</v>
      </c>
      <c r="B513" s="85" t="str" cm="1">
        <f t="array" ref="B513">IFERROR(INDEX('03.Muestra'!$C$8:$C$42,SMALL(IF("Documento no web"='03.Muestra'!$D$8:$D$42,ROW('03.Muestra'!$C$8:$C$42)-MIN(ROW('03.Muestra'!$D$8:$D$42))+1,""),ROW()-512)),"")</f>
        <v>Inicio/Descargar boletin completo</v>
      </c>
      <c r="C513" s="85" t="str" cm="1">
        <f t="array" ref="C513">IFERROR(INDEX('03.Muestra'!$F$8:$F$42,SMALL(IF("Documento no web"='03.Muestra'!$D$8:$D$42,ROW('03.Muestra'!$F$8:$F$42)-MIN(ROW('03.Muestra'!$D$8:$D$42))+1,""),ROW()-512)),"")</f>
        <v>https://www.bocm.es/boletin/CM_Boletin_BOCM/2024/01/10/00800.PDF</v>
      </c>
      <c r="D513" s="99" t="s">
        <v>104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1</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IFERROR(INDEX('03.Muestra'!$B$8:$B$42,SMALL(IF("Documento no web"='03.Muestra'!$D$8:$D$42,ROW('03.Muestra'!$B$8:$B$42)-MIN(ROW('03.Muestra'!$D$8:$D$42))+1,""),ROW()-550)),"")</f>
        <v>8</v>
      </c>
      <c r="B551" s="85" t="str" cm="1">
        <f t="array" ref="B551">IFERROR(INDEX('03.Muestra'!$C$8:$C$42,SMALL(IF("Documento no web"='03.Muestra'!$D$8:$D$42,ROW('03.Muestra'!$C$8:$C$42)-MIN(ROW('03.Muestra'!$D$8:$D$42))+1,""),ROW()-550)),"")</f>
        <v>Inicio/Descargar boletin completo</v>
      </c>
      <c r="C551" s="85" t="str" cm="1">
        <f t="array" ref="C551">IFERROR(INDEX('03.Muestra'!$F$8:$F$42,SMALL(IF("Documento no web"='03.Muestra'!$D$8:$D$42,ROW('03.Muestra'!$F$8:$F$42)-MIN(ROW('03.Muestra'!$D$8:$D$42))+1,""),ROW()-550)),"")</f>
        <v>https://www.bocm.es/boletin/CM_Boletin_BOCM/2024/01/10/00800.PDF</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1</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IFERROR(INDEX('03.Muestra'!$B$8:$B$42,SMALL(IF("Documento no web"='03.Muestra'!$D$8:$D$42,ROW('03.Muestra'!$B$8:$B$42)-MIN(ROW('03.Muestra'!$D$8:$D$42))+1,""),ROW()-588)),"")</f>
        <v>8</v>
      </c>
      <c r="B589" s="85" t="str" cm="1">
        <f t="array" ref="B589">IFERROR(INDEX('03.Muestra'!$C$8:$C$42,SMALL(IF("Documento no web"='03.Muestra'!$D$8:$D$42,ROW('03.Muestra'!$C$8:$C$42)-MIN(ROW('03.Muestra'!$D$8:$D$42))+1,""),ROW()-588)),"")</f>
        <v>Inicio/Descargar boletin completo</v>
      </c>
      <c r="C589" s="85" t="str" cm="1">
        <f t="array" ref="C589">IFERROR(INDEX('03.Muestra'!$F$8:$F$42,SMALL(IF("Documento no web"='03.Muestra'!$D$8:$D$42,ROW('03.Muestra'!$F$8:$F$42)-MIN(ROW('03.Muestra'!$D$8:$D$42))+1,""),ROW()-588)),"")</f>
        <v>https://www.bocm.es/boletin/CM_Boletin_BOCM/2024/01/10/00800.PDF</v>
      </c>
      <c r="D589" s="99" t="s">
        <v>104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1</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cm="1">
        <f t="array" ref="A627">IFERROR(INDEX('03.Muestra'!$B$8:$B$42,SMALL(IF("Documento no web"='03.Muestra'!$D$8:$D$42,ROW('03.Muestra'!$B$8:$B$42)-MIN(ROW('03.Muestra'!$D$8:$D$42))+1,""),ROW()-626)),"")</f>
        <v>8</v>
      </c>
      <c r="B627" s="85" t="str" cm="1">
        <f t="array" ref="B627">IFERROR(INDEX('03.Muestra'!$C$8:$C$42,SMALL(IF("Documento no web"='03.Muestra'!$D$8:$D$42,ROW('03.Muestra'!$C$8:$C$42)-MIN(ROW('03.Muestra'!$D$8:$D$42))+1,""),ROW()-626)),"")</f>
        <v>Inicio/Descargar boletin completo</v>
      </c>
      <c r="C627" s="85" t="str" cm="1">
        <f t="array" ref="C627">IFERROR(INDEX('03.Muestra'!$F$8:$F$42,SMALL(IF("Documento no web"='03.Muestra'!$D$8:$D$42,ROW('03.Muestra'!$F$8:$F$42)-MIN(ROW('03.Muestra'!$D$8:$D$42))+1,""),ROW()-626)),"")</f>
        <v>https://www.bocm.es/boletin/CM_Boletin_BOCM/2024/01/10/00800.PDF</v>
      </c>
      <c r="D627" s="99" t="s">
        <v>104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1</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5" customHeight="1">
      <c r="A665" s="39" cm="1">
        <f t="array" ref="A665">IFERROR(INDEX('03.Muestra'!$B$8:$B$42,SMALL(IF("Documento no web"='03.Muestra'!$D$8:$D$42,ROW('03.Muestra'!$B$8:$B$42)-MIN(ROW('03.Muestra'!$D$8:$D$42))+1,""),ROW()-664)),"")</f>
        <v>8</v>
      </c>
      <c r="B665" s="85" t="str" cm="1">
        <f t="array" ref="B665">IFERROR(INDEX('03.Muestra'!$C$8:$C$42,SMALL(IF("Documento no web"='03.Muestra'!$D$8:$D$42,ROW('03.Muestra'!$C$8:$C$42)-MIN(ROW('03.Muestra'!$D$8:$D$42))+1,""),ROW()-664)),"")</f>
        <v>Inicio/Descargar boletin completo</v>
      </c>
      <c r="C665" s="85" t="str" cm="1">
        <f t="array" ref="C665">IFERROR(INDEX('03.Muestra'!$F$8:$F$42,SMALL(IF("Documento no web"='03.Muestra'!$D$8:$D$42,ROW('03.Muestra'!$F$8:$F$42)-MIN(ROW('03.Muestra'!$D$8:$D$42))+1,""),ROW()-664)),"")</f>
        <v>https://www.bocm.es/boletin/CM_Boletin_BOCM/2024/01/10/00800.PDF</v>
      </c>
      <c r="D665" s="99" t="s">
        <v>104</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1</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5" customHeight="1">
      <c r="A703" s="39" cm="1">
        <f t="array" ref="A703">IFERROR(INDEX('03.Muestra'!$B$8:$B$42,SMALL(IF("Documento no web"='03.Muestra'!$D$8:$D$42,ROW('03.Muestra'!$B$8:$B$42)-MIN(ROW('03.Muestra'!$D$8:$D$42))+1,""),ROW()-702)),"")</f>
        <v>8</v>
      </c>
      <c r="B703" s="85" t="str" cm="1">
        <f t="array" ref="B703">IFERROR(INDEX('03.Muestra'!$C$8:$C$42,SMALL(IF("Documento no web"='03.Muestra'!$D$8:$D$42,ROW('03.Muestra'!$C$8:$C$42)-MIN(ROW('03.Muestra'!$D$8:$D$42))+1,""),ROW()-702)),"")</f>
        <v>Inicio/Descargar boletin completo</v>
      </c>
      <c r="C703" s="85" t="str" cm="1">
        <f t="array" ref="C703">IFERROR(INDEX('03.Muestra'!$F$8:$F$42,SMALL(IF("Documento no web"='03.Muestra'!$D$8:$D$42,ROW('03.Muestra'!$F$8:$F$42)-MIN(ROW('03.Muestra'!$D$8:$D$42))+1,""),ROW()-702)),"")</f>
        <v>https://www.bocm.es/boletin/CM_Boletin_BOCM/2024/01/10/00800.PDF</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1</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IFERROR(INDEX('03.Muestra'!$B$8:$B$42,SMALL(IF("Documento no web"='03.Muestra'!$D$8:$D$42,ROW('03.Muestra'!$B$8:$B$42)-MIN(ROW('03.Muestra'!$D$8:$D$42))+1,""),ROW()-740)),"")</f>
        <v>8</v>
      </c>
      <c r="B741" s="85" t="str" cm="1">
        <f t="array" ref="B741">IFERROR(INDEX('03.Muestra'!$C$8:$C$42,SMALL(IF("Documento no web"='03.Muestra'!$D$8:$D$42,ROW('03.Muestra'!$C$8:$C$42)-MIN(ROW('03.Muestra'!$D$8:$D$42))+1,""),ROW()-740)),"")</f>
        <v>Inicio/Descargar boletin completo</v>
      </c>
      <c r="C741" s="85" t="str" cm="1">
        <f t="array" ref="C741">IFERROR(INDEX('03.Muestra'!$F$8:$F$42,SMALL(IF("Documento no web"='03.Muestra'!$D$8:$D$42,ROW('03.Muestra'!$F$8:$F$42)-MIN(ROW('03.Muestra'!$D$8:$D$42))+1,""),ROW()-740)),"")</f>
        <v>https://www.bocm.es/boletin/CM_Boletin_BOCM/2024/01/10/00800.PDF</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cm="1">
        <f t="array" ref="A779">IFERROR(INDEX('03.Muestra'!$B$8:$B$42,SMALL(IF("Documento no web"='03.Muestra'!$D$8:$D$42,ROW('03.Muestra'!$B$8:$B$42)-MIN(ROW('03.Muestra'!$D$8:$D$42))+1,""),ROW()-778)),"")</f>
        <v>8</v>
      </c>
      <c r="B779" s="85" t="str" cm="1">
        <f t="array" ref="B779">IFERROR(INDEX('03.Muestra'!$C$8:$C$42,SMALL(IF("Documento no web"='03.Muestra'!$D$8:$D$42,ROW('03.Muestra'!$C$8:$C$42)-MIN(ROW('03.Muestra'!$D$8:$D$42))+1,""),ROW()-778)),"")</f>
        <v>Inicio/Descargar boletin completo</v>
      </c>
      <c r="C779" s="85" t="str" cm="1">
        <f t="array" ref="C779">IFERROR(INDEX('03.Muestra'!$F$8:$F$42,SMALL(IF("Documento no web"='03.Muestra'!$D$8:$D$42,ROW('03.Muestra'!$F$8:$F$42)-MIN(ROW('03.Muestra'!$D$8:$D$42))+1,""),ROW()-778)),"")</f>
        <v>https://www.bocm.es/boletin/CM_Boletin_BOCM/2024/01/10/00800.PDF</v>
      </c>
      <c r="D779" s="99" t="s">
        <v>104</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1</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cm="1">
        <f t="array" ref="A817">IFERROR(INDEX('03.Muestra'!$B$8:$B$42,SMALL(IF("Documento no web"='03.Muestra'!$D$8:$D$42,ROW('03.Muestra'!$B$8:$B$42)-MIN(ROW('03.Muestra'!$D$8:$D$42))+1,""),ROW()-816)),"")</f>
        <v>8</v>
      </c>
      <c r="B817" s="85" t="str" cm="1">
        <f t="array" ref="B817">IFERROR(INDEX('03.Muestra'!$C$8:$C$42,SMALL(IF("Documento no web"='03.Muestra'!$D$8:$D$42,ROW('03.Muestra'!$C$8:$C$42)-MIN(ROW('03.Muestra'!$D$8:$D$42))+1,""),ROW()-816)),"")</f>
        <v>Inicio/Descargar boletin completo</v>
      </c>
      <c r="C817" s="85" t="str" cm="1">
        <f t="array" ref="C817">IFERROR(INDEX('03.Muestra'!$F$8:$F$42,SMALL(IF("Documento no web"='03.Muestra'!$D$8:$D$42,ROW('03.Muestra'!$F$8:$F$42)-MIN(ROW('03.Muestra'!$D$8:$D$42))+1,""),ROW()-816)),"")</f>
        <v>https://www.bocm.es/boletin/CM_Boletin_BOCM/2024/01/10/00800.PDF</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1</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cm="1">
        <f t="array" ref="A855">IFERROR(INDEX('03.Muestra'!$B$8:$B$42,SMALL(IF("Documento no web"='03.Muestra'!$D$8:$D$42,ROW('03.Muestra'!$B$8:$B$42)-MIN(ROW('03.Muestra'!$D$8:$D$42))+1,""),ROW()-854)),"")</f>
        <v>8</v>
      </c>
      <c r="B855" s="85" t="str" cm="1">
        <f t="array" ref="B855">IFERROR(INDEX('03.Muestra'!$C$8:$C$42,SMALL(IF("Documento no web"='03.Muestra'!$D$8:$D$42,ROW('03.Muestra'!$C$8:$C$42)-MIN(ROW('03.Muestra'!$D$8:$D$42))+1,""),ROW()-854)),"")</f>
        <v>Inicio/Descargar boletin completo</v>
      </c>
      <c r="C855" s="85" t="str" cm="1">
        <f t="array" ref="C855">IFERROR(INDEX('03.Muestra'!$F$8:$F$42,SMALL(IF("Documento no web"='03.Muestra'!$D$8:$D$42,ROW('03.Muestra'!$F$8:$F$42)-MIN(ROW('03.Muestra'!$D$8:$D$42))+1,""),ROW()-854)),"")</f>
        <v>https://www.bocm.es/boletin/CM_Boletin_BOCM/2024/01/10/00800.PDF</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1</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cm="1">
        <f t="array" ref="A893">IFERROR(INDEX('03.Muestra'!$B$8:$B$42,SMALL(IF("Documento no web"='03.Muestra'!$D$8:$D$42,ROW('03.Muestra'!$B$8:$B$42)-MIN(ROW('03.Muestra'!$D$8:$D$42))+1,""),ROW()-892)),"")</f>
        <v>8</v>
      </c>
      <c r="B893" s="85" t="str" cm="1">
        <f t="array" ref="B893">IFERROR(INDEX('03.Muestra'!$C$8:$C$42,SMALL(IF("Documento no web"='03.Muestra'!$D$8:$D$42,ROW('03.Muestra'!$C$8:$C$42)-MIN(ROW('03.Muestra'!$D$8:$D$42))+1,""),ROW()-892)),"")</f>
        <v>Inicio/Descargar boletin completo</v>
      </c>
      <c r="C893" s="85" t="str" cm="1">
        <f t="array" ref="C893">IFERROR(INDEX('03.Muestra'!$F$8:$F$42,SMALL(IF("Documento no web"='03.Muestra'!$D$8:$D$42,ROW('03.Muestra'!$F$8:$F$42)-MIN(ROW('03.Muestra'!$D$8:$D$42))+1,""),ROW()-892)),"")</f>
        <v>https://www.bocm.es/boletin/CM_Boletin_BOCM/2024/01/10/00800.PDF</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1</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cm="1">
        <f t="array" ref="A931">IFERROR(INDEX('03.Muestra'!$B$8:$B$42,SMALL(IF("Documento no web"='03.Muestra'!$D$8:$D$42,ROW('03.Muestra'!$B$8:$B$42)-MIN(ROW('03.Muestra'!$D$8:$D$42))+1,""),ROW()-930)),"")</f>
        <v>8</v>
      </c>
      <c r="B931" s="85" t="str" cm="1">
        <f t="array" ref="B931">IFERROR(INDEX('03.Muestra'!$C$8:$C$42,SMALL(IF("Documento no web"='03.Muestra'!$D$8:$D$42,ROW('03.Muestra'!$C$8:$C$42)-MIN(ROW('03.Muestra'!$D$8:$D$42))+1,""),ROW()-930)),"")</f>
        <v>Inicio/Descargar boletin completo</v>
      </c>
      <c r="C931" s="85" t="str" cm="1">
        <f t="array" ref="C931">IFERROR(INDEX('03.Muestra'!$F$8:$F$42,SMALL(IF("Documento no web"='03.Muestra'!$D$8:$D$42,ROW('03.Muestra'!$F$8:$F$42)-MIN(ROW('03.Muestra'!$D$8:$D$42))+1,""),ROW()-930)),"")</f>
        <v>https://www.bocm.es/boletin/CM_Boletin_BOCM/2024/01/10/00800.PDF</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1</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cm="1">
        <f t="array" ref="A969">IFERROR(INDEX('03.Muestra'!$B$8:$B$42,SMALL(IF("Documento no web"='03.Muestra'!$D$8:$D$42,ROW('03.Muestra'!$B$8:$B$42)-MIN(ROW('03.Muestra'!$D$8:$D$42))+1,""),ROW()-968)),"")</f>
        <v>8</v>
      </c>
      <c r="B969" s="85" t="str" cm="1">
        <f t="array" ref="B969">IFERROR(INDEX('03.Muestra'!$C$8:$C$42,SMALL(IF("Documento no web"='03.Muestra'!$D$8:$D$42,ROW('03.Muestra'!$C$8:$C$42)-MIN(ROW('03.Muestra'!$D$8:$D$42))+1,""),ROW()-968)),"")</f>
        <v>Inicio/Descargar boletin completo</v>
      </c>
      <c r="C969" s="85" t="str" cm="1">
        <f t="array" ref="C969">IFERROR(INDEX('03.Muestra'!$F$8:$F$42,SMALL(IF("Documento no web"='03.Muestra'!$D$8:$D$42,ROW('03.Muestra'!$F$8:$F$42)-MIN(ROW('03.Muestra'!$D$8:$D$42))+1,""),ROW()-968)),"")</f>
        <v>https://www.bocm.es/boletin/CM_Boletin_BOCM/2024/01/10/00800.PDF</v>
      </c>
      <c r="D969" s="99" t="s">
        <v>92</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cm="1">
        <f t="array" ref="A1007">IFERROR(INDEX('03.Muestra'!$B$8:$B$42,SMALL(IF("Documento no web"='03.Muestra'!$D$8:$D$42,ROW('03.Muestra'!$B$8:$B$42)-MIN(ROW('03.Muestra'!$D$8:$D$42))+1,""),ROW()-1006)),"")</f>
        <v>8</v>
      </c>
      <c r="B1007" s="85" t="str" cm="1">
        <f t="array" ref="B1007">IFERROR(INDEX('03.Muestra'!$C$8:$C$42,SMALL(IF("Documento no web"='03.Muestra'!$D$8:$D$42,ROW('03.Muestra'!$C$8:$C$42)-MIN(ROW('03.Muestra'!$D$8:$D$42))+1,""),ROW()-1006)),"")</f>
        <v>Inicio/Descargar boletin completo</v>
      </c>
      <c r="C1007" s="85" t="str" cm="1">
        <f t="array" ref="C1007">IFERROR(INDEX('03.Muestra'!$F$8:$F$42,SMALL(IF("Documento no web"='03.Muestra'!$D$8:$D$42,ROW('03.Muestra'!$F$8:$F$42)-MIN(ROW('03.Muestra'!$D$8:$D$42))+1,""),ROW()-1006)),"")</f>
        <v>https://www.bocm.es/boletin/CM_Boletin_BOCM/2024/01/10/00800.PDF</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cm="1">
        <f t="array" ref="A1045">IFERROR(INDEX('03.Muestra'!$B$8:$B$42,SMALL(IF("Documento no web"='03.Muestra'!$D$8:$D$42,ROW('03.Muestra'!$B$8:$B$42)-MIN(ROW('03.Muestra'!$D$8:$D$42))+1,""),ROW()-1044)),"")</f>
        <v>8</v>
      </c>
      <c r="B1045" s="85" t="str" cm="1">
        <f t="array" ref="B1045">IFERROR(INDEX('03.Muestra'!$C$8:$C$42,SMALL(IF("Documento no web"='03.Muestra'!$D$8:$D$42,ROW('03.Muestra'!$C$8:$C$42)-MIN(ROW('03.Muestra'!$D$8:$D$42))+1,""),ROW()-1044)),"")</f>
        <v>Inicio/Descargar boletin completo</v>
      </c>
      <c r="C1045" s="85" t="str" cm="1">
        <f t="array" ref="C1045">IFERROR(INDEX('03.Muestra'!$F$8:$F$42,SMALL(IF("Documento no web"='03.Muestra'!$D$8:$D$42,ROW('03.Muestra'!$F$8:$F$42)-MIN(ROW('03.Muestra'!$D$8:$D$42))+1,""),ROW()-1044)),"")</f>
        <v>https://www.bocm.es/boletin/CM_Boletin_BOCM/2024/01/10/00800.PDF</v>
      </c>
      <c r="D1045" s="99" t="s">
        <v>92</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cm="1">
        <f t="array" ref="A1083">IFERROR(INDEX('03.Muestra'!$B$8:$B$42,SMALL(IF("Documento no web"='03.Muestra'!$D$8:$D$42,ROW('03.Muestra'!$B$8:$B$42)-MIN(ROW('03.Muestra'!$D$8:$D$42))+1,""),ROW()-1082)),"")</f>
        <v>8</v>
      </c>
      <c r="B1083" s="85" t="str" cm="1">
        <f t="array" ref="B1083">IFERROR(INDEX('03.Muestra'!$C$8:$C$42,SMALL(IF("Documento no web"='03.Muestra'!$D$8:$D$42,ROW('03.Muestra'!$C$8:$C$42)-MIN(ROW('03.Muestra'!$D$8:$D$42))+1,""),ROW()-1082)),"")</f>
        <v>Inicio/Descargar boletin completo</v>
      </c>
      <c r="C1083" s="85" t="str" cm="1">
        <f t="array" ref="C1083">IFERROR(INDEX('03.Muestra'!$F$8:$F$42,SMALL(IF("Documento no web"='03.Muestra'!$D$8:$D$42,ROW('03.Muestra'!$F$8:$F$42)-MIN(ROW('03.Muestra'!$D$8:$D$42))+1,""),ROW()-1082)),"")</f>
        <v>https://www.bocm.es/boletin/CM_Boletin_BOCM/2024/01/10/00800.PDF</v>
      </c>
      <c r="D1083" s="99" t="s">
        <v>104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1</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cm="1">
        <f t="array" ref="A1121">IFERROR(INDEX('03.Muestra'!$B$8:$B$42,SMALL(IF("Documento no web"='03.Muestra'!$D$8:$D$42,ROW('03.Muestra'!$B$8:$B$42)-MIN(ROW('03.Muestra'!$D$8:$D$42))+1,""),ROW()-1120)),"")</f>
        <v>8</v>
      </c>
      <c r="B1121" s="85" t="str" cm="1">
        <f t="array" ref="B1121">IFERROR(INDEX('03.Muestra'!$C$8:$C$42,SMALL(IF("Documento no web"='03.Muestra'!$D$8:$D$42,ROW('03.Muestra'!$C$8:$C$42)-MIN(ROW('03.Muestra'!$D$8:$D$42))+1,""),ROW()-1120)),"")</f>
        <v>Inicio/Descargar boletin completo</v>
      </c>
      <c r="C1121" s="85" t="str" cm="1">
        <f t="array" ref="C1121">IFERROR(INDEX('03.Muestra'!$F$8:$F$42,SMALL(IF("Documento no web"='03.Muestra'!$D$8:$D$42,ROW('03.Muestra'!$F$8:$F$42)-MIN(ROW('03.Muestra'!$D$8:$D$42))+1,""),ROW()-1120)),"")</f>
        <v>https://www.bocm.es/boletin/CM_Boletin_BOCM/2024/01/10/00800.PDF</v>
      </c>
      <c r="D1121" s="99" t="s">
        <v>104</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1</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cm="1">
        <f t="array" ref="A1159">IFERROR(INDEX('03.Muestra'!$B$8:$B$42,SMALL(IF("Documento no web"='03.Muestra'!$D$8:$D$42,ROW('03.Muestra'!$B$8:$B$42)-MIN(ROW('03.Muestra'!$D$8:$D$42))+1,""),ROW()-1158)),"")</f>
        <v>8</v>
      </c>
      <c r="B1159" s="85" t="str" cm="1">
        <f t="array" ref="B1159">IFERROR(INDEX('03.Muestra'!$C$8:$C$42,SMALL(IF("Documento no web"='03.Muestra'!$D$8:$D$42,ROW('03.Muestra'!$C$8:$C$42)-MIN(ROW('03.Muestra'!$D$8:$D$42))+1,""),ROW()-1158)),"")</f>
        <v>Inicio/Descargar boletin completo</v>
      </c>
      <c r="C1159" s="85" t="str" cm="1">
        <f t="array" ref="C1159">IFERROR(INDEX('03.Muestra'!$F$8:$F$42,SMALL(IF("Documento no web"='03.Muestra'!$D$8:$D$42,ROW('03.Muestra'!$F$8:$F$42)-MIN(ROW('03.Muestra'!$D$8:$D$42))+1,""),ROW()-1158)),"")</f>
        <v>https://www.bocm.es/boletin/CM_Boletin_BOCM/2024/01/10/00800.PDF</v>
      </c>
      <c r="D1159" s="99" t="s">
        <v>104</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1</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cm="1">
        <f t="array" ref="A1197">IFERROR(INDEX('03.Muestra'!$B$8:$B$42,SMALL(IF("Documento no web"='03.Muestra'!$D$8:$D$42,ROW('03.Muestra'!$B$8:$B$42)-MIN(ROW('03.Muestra'!$D$8:$D$42))+1,""),ROW()-1196)),"")</f>
        <v>8</v>
      </c>
      <c r="B1197" s="85" t="str" cm="1">
        <f t="array" ref="B1197">IFERROR(INDEX('03.Muestra'!$C$8:$C$42,SMALL(IF("Documento no web"='03.Muestra'!$D$8:$D$42,ROW('03.Muestra'!$C$8:$C$42)-MIN(ROW('03.Muestra'!$D$8:$D$42))+1,""),ROW()-1196)),"")</f>
        <v>Inicio/Descargar boletin completo</v>
      </c>
      <c r="C1197" s="85" t="str" cm="1">
        <f t="array" ref="C1197">IFERROR(INDEX('03.Muestra'!$F$8:$F$42,SMALL(IF("Documento no web"='03.Muestra'!$D$8:$D$42,ROW('03.Muestra'!$F$8:$F$42)-MIN(ROW('03.Muestra'!$D$8:$D$42))+1,""),ROW()-1196)),"")</f>
        <v>https://www.bocm.es/boletin/CM_Boletin_BOCM/2024/01/10/00800.PDF</v>
      </c>
      <c r="D1197" s="99" t="s">
        <v>104</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1</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cm="1">
        <f t="array" ref="A1235">IFERROR(INDEX('03.Muestra'!$B$8:$B$42,SMALL(IF("Documento no web"='03.Muestra'!$D$8:$D$42,ROW('03.Muestra'!$B$8:$B$42)-MIN(ROW('03.Muestra'!$D$8:$D$42))+1,""),ROW()-1234)),"")</f>
        <v>8</v>
      </c>
      <c r="B1235" s="85" t="str" cm="1">
        <f t="array" ref="B1235">IFERROR(INDEX('03.Muestra'!$C$8:$C$42,SMALL(IF("Documento no web"='03.Muestra'!$D$8:$D$42,ROW('03.Muestra'!$C$8:$C$42)-MIN(ROW('03.Muestra'!$D$8:$D$42))+1,""),ROW()-1234)),"")</f>
        <v>Inicio/Descargar boletin completo</v>
      </c>
      <c r="C1235" s="85" t="str" cm="1">
        <f t="array" ref="C1235">IFERROR(INDEX('03.Muestra'!$F$8:$F$42,SMALL(IF("Documento no web"='03.Muestra'!$D$8:$D$42,ROW('03.Muestra'!$F$8:$F$42)-MIN(ROW('03.Muestra'!$D$8:$D$42))+1,""),ROW()-1234)),"")</f>
        <v>https://www.bocm.es/boletin/CM_Boletin_BOCM/2024/01/10/00800.PDF</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1</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cm="1">
        <f t="array" ref="A1273">IFERROR(INDEX('03.Muestra'!$B$8:$B$42,SMALL(IF("Documento no web"='03.Muestra'!$D$8:$D$42,ROW('03.Muestra'!$B$8:$B$42)-MIN(ROW('03.Muestra'!$D$8:$D$42))+1,""),ROW()-1272)),"")</f>
        <v>8</v>
      </c>
      <c r="B1273" s="85" t="str" cm="1">
        <f t="array" ref="B1273">IFERROR(INDEX('03.Muestra'!$C$8:$C$42,SMALL(IF("Documento no web"='03.Muestra'!$D$8:$D$42,ROW('03.Muestra'!$C$8:$C$42)-MIN(ROW('03.Muestra'!$D$8:$D$42))+1,""),ROW()-1272)),"")</f>
        <v>Inicio/Descargar boletin completo</v>
      </c>
      <c r="C1273" s="85" t="str" cm="1">
        <f t="array" ref="C1273">IFERROR(INDEX('03.Muestra'!$F$8:$F$42,SMALL(IF("Documento no web"='03.Muestra'!$D$8:$D$42,ROW('03.Muestra'!$F$8:$F$42)-MIN(ROW('03.Muestra'!$D$8:$D$42))+1,""),ROW()-1272)),"")</f>
        <v>https://www.bocm.es/boletin/CM_Boletin_BOCM/2024/01/10/00800.PDF</v>
      </c>
      <c r="D1273" s="99" t="s">
        <v>104</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1</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cm="1">
        <f t="array" ref="A1311">IFERROR(INDEX('03.Muestra'!$B$8:$B$42,SMALL(IF("Documento no web"='03.Muestra'!$D$8:$D$42,ROW('03.Muestra'!$B$8:$B$42)-MIN(ROW('03.Muestra'!$D$8:$D$42))+1,""),ROW()-1310)),"")</f>
        <v>8</v>
      </c>
      <c r="B1311" s="85" t="str" cm="1">
        <f t="array" ref="B1311">IFERROR(INDEX('03.Muestra'!$C$8:$C$42,SMALL(IF("Documento no web"='03.Muestra'!$D$8:$D$42,ROW('03.Muestra'!$C$8:$C$42)-MIN(ROW('03.Muestra'!$D$8:$D$42))+1,""),ROW()-1310)),"")</f>
        <v>Inicio/Descargar boletin completo</v>
      </c>
      <c r="C1311" s="85" t="str" cm="1">
        <f t="array" ref="C1311">IFERROR(INDEX('03.Muestra'!$F$8:$F$42,SMALL(IF("Documento no web"='03.Muestra'!$D$8:$D$42,ROW('03.Muestra'!$F$8:$F$42)-MIN(ROW('03.Muestra'!$D$8:$D$42))+1,""),ROW()-1310)),"")</f>
        <v>https://www.bocm.es/boletin/CM_Boletin_BOCM/2024/01/10/00800.PDF</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cm="1">
        <f t="array" ref="A1349">IFERROR(INDEX('03.Muestra'!$B$8:$B$42,SMALL(IF("Documento no web"='03.Muestra'!$D$8:$D$42,ROW('03.Muestra'!$B$8:$B$42)-MIN(ROW('03.Muestra'!$D$8:$D$42))+1,""),ROW()-1348)),"")</f>
        <v>8</v>
      </c>
      <c r="B1349" s="85" t="str" cm="1">
        <f t="array" ref="B1349">IFERROR(INDEX('03.Muestra'!$C$8:$C$42,SMALL(IF("Documento no web"='03.Muestra'!$D$8:$D$42,ROW('03.Muestra'!$C$8:$C$42)-MIN(ROW('03.Muestra'!$D$8:$D$42))+1,""),ROW()-1348)),"")</f>
        <v>Inicio/Descargar boletin completo</v>
      </c>
      <c r="C1349" s="85" t="str" cm="1">
        <f t="array" ref="C1349">IFERROR(INDEX('03.Muestra'!$F$8:$F$42,SMALL(IF("Documento no web"='03.Muestra'!$D$8:$D$42,ROW('03.Muestra'!$F$8:$F$42)-MIN(ROW('03.Muestra'!$D$8:$D$42))+1,""),ROW()-1348)),"")</f>
        <v>https://www.bocm.es/boletin/CM_Boletin_BOCM/2024/01/10/00800.PDF</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1</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cm="1">
        <f t="array" ref="A1387">IFERROR(INDEX('03.Muestra'!$B$8:$B$42,SMALL(IF("Documento no web"='03.Muestra'!$D$8:$D$42,ROW('03.Muestra'!$B$8:$B$42)-MIN(ROW('03.Muestra'!$D$8:$D$42))+1,""),ROW()-1386)),"")</f>
        <v>8</v>
      </c>
      <c r="B1387" s="85" t="str" cm="1">
        <f t="array" ref="B1387">IFERROR(INDEX('03.Muestra'!$C$8:$C$42,SMALL(IF("Documento no web"='03.Muestra'!$D$8:$D$42,ROW('03.Muestra'!$C$8:$C$42)-MIN(ROW('03.Muestra'!$D$8:$D$42))+1,""),ROW()-1386)),"")</f>
        <v>Inicio/Descargar boletin completo</v>
      </c>
      <c r="C1387" s="85" t="str" cm="1">
        <f t="array" ref="C1387">IFERROR(INDEX('03.Muestra'!$F$8:$F$42,SMALL(IF("Documento no web"='03.Muestra'!$D$8:$D$42,ROW('03.Muestra'!$F$8:$F$42)-MIN(ROW('03.Muestra'!$D$8:$D$42))+1,""),ROW()-1386)),"")</f>
        <v>https://www.bocm.es/boletin/CM_Boletin_BOCM/2024/01/10/00800.PDF</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cm="1">
        <f t="array" ref="A1425">IFERROR(INDEX('03.Muestra'!$B$8:$B$42,SMALL(IF("Documento no web"='03.Muestra'!$D$8:$D$42,ROW('03.Muestra'!$B$8:$B$42)-MIN(ROW('03.Muestra'!$D$8:$D$42))+1,""),ROW()-1424)),"")</f>
        <v>8</v>
      </c>
      <c r="B1425" s="85" t="str" cm="1">
        <f t="array" ref="B1425">IFERROR(INDEX('03.Muestra'!$C$8:$C$42,SMALL(IF("Documento no web"='03.Muestra'!$D$8:$D$42,ROW('03.Muestra'!$C$8:$C$42)-MIN(ROW('03.Muestra'!$D$8:$D$42))+1,""),ROW()-1424)),"")</f>
        <v>Inicio/Descargar boletin completo</v>
      </c>
      <c r="C1425" s="85" t="str" cm="1">
        <f t="array" ref="C1425">IFERROR(INDEX('03.Muestra'!$F$8:$F$42,SMALL(IF("Documento no web"='03.Muestra'!$D$8:$D$42,ROW('03.Muestra'!$F$8:$F$42)-MIN(ROW('03.Muestra'!$D$8:$D$42))+1,""),ROW()-1424)),"")</f>
        <v>https://www.bocm.es/boletin/CM_Boletin_BOCM/2024/01/10/00800.PDF</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1</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cm="1">
        <f t="array" ref="A1463">IFERROR(INDEX('03.Muestra'!$B$8:$B$42,SMALL(IF("Documento no web"='03.Muestra'!$D$8:$D$42,ROW('03.Muestra'!$B$8:$B$42)-MIN(ROW('03.Muestra'!$D$8:$D$42))+1,""),ROW()-1462)),"")</f>
        <v>8</v>
      </c>
      <c r="B1463" s="85" t="str" cm="1">
        <f t="array" ref="B1463">IFERROR(INDEX('03.Muestra'!$C$8:$C$42,SMALL(IF("Documento no web"='03.Muestra'!$D$8:$D$42,ROW('03.Muestra'!$C$8:$C$42)-MIN(ROW('03.Muestra'!$D$8:$D$42))+1,""),ROW()-1462)),"")</f>
        <v>Inicio/Descargar boletin completo</v>
      </c>
      <c r="C1463" s="85" t="str" cm="1">
        <f t="array" ref="C1463">IFERROR(INDEX('03.Muestra'!$F$8:$F$42,SMALL(IF("Documento no web"='03.Muestra'!$D$8:$D$42,ROW('03.Muestra'!$F$8:$F$42)-MIN(ROW('03.Muestra'!$D$8:$D$42))+1,""),ROW()-1462)),"")</f>
        <v>https://www.bocm.es/boletin/CM_Boletin_BOCM/2024/01/10/00800.PDF</v>
      </c>
      <c r="D1463" s="99" t="s">
        <v>104</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1</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cm="1">
        <f t="array" ref="A1501">IFERROR(INDEX('03.Muestra'!$B$8:$B$42,SMALL(IF("Documento no web"='03.Muestra'!$D$8:$D$42,ROW('03.Muestra'!$B$8:$B$42)-MIN(ROW('03.Muestra'!$D$8:$D$42))+1,""),ROW()-1500)),"")</f>
        <v>8</v>
      </c>
      <c r="B1501" s="85" t="str" cm="1">
        <f t="array" ref="B1501">IFERROR(INDEX('03.Muestra'!$C$8:$C$42,SMALL(IF("Documento no web"='03.Muestra'!$D$8:$D$42,ROW('03.Muestra'!$C$8:$C$42)-MIN(ROW('03.Muestra'!$D$8:$D$42))+1,""),ROW()-1500)),"")</f>
        <v>Inicio/Descargar boletin completo</v>
      </c>
      <c r="C1501" s="85" t="str" cm="1">
        <f t="array" ref="C1501">IFERROR(INDEX('03.Muestra'!$F$8:$F$42,SMALL(IF("Documento no web"='03.Muestra'!$D$8:$D$42,ROW('03.Muestra'!$F$8:$F$42)-MIN(ROW('03.Muestra'!$D$8:$D$42))+1,""),ROW()-1500)),"")</f>
        <v>https://www.bocm.es/boletin/CM_Boletin_BOCM/2024/01/10/00800.PDF</v>
      </c>
      <c r="D1501" s="99" t="s">
        <v>104</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1</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cm="1">
        <f t="array" ref="A1539">IFERROR(INDEX('03.Muestra'!$B$8:$B$42,SMALL(IF("Documento no web"='03.Muestra'!$D$8:$D$42,ROW('03.Muestra'!$B$8:$B$42)-MIN(ROW('03.Muestra'!$D$8:$D$42))+1,""),ROW()-1538)),"")</f>
        <v>8</v>
      </c>
      <c r="B1539" s="85" t="str" cm="1">
        <f t="array" ref="B1539">IFERROR(INDEX('03.Muestra'!$C$8:$C$42,SMALL(IF("Documento no web"='03.Muestra'!$D$8:$D$42,ROW('03.Muestra'!$C$8:$C$42)-MIN(ROW('03.Muestra'!$D$8:$D$42))+1,""),ROW()-1538)),"")</f>
        <v>Inicio/Descargar boletin completo</v>
      </c>
      <c r="C1539" s="85" t="str" cm="1">
        <f t="array" ref="C1539">IFERROR(INDEX('03.Muestra'!$F$8:$F$42,SMALL(IF("Documento no web"='03.Muestra'!$D$8:$D$42,ROW('03.Muestra'!$F$8:$F$42)-MIN(ROW('03.Muestra'!$D$8:$D$42))+1,""),ROW()-1538)),"")</f>
        <v>https://www.bocm.es/boletin/CM_Boletin_BOCM/2024/01/10/00800.PDF</v>
      </c>
      <c r="D1539" s="99" t="s">
        <v>104</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1</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cm="1">
        <f t="array" ref="A1577">IFERROR(INDEX('03.Muestra'!$B$8:$B$42,SMALL(IF("Documento no web"='03.Muestra'!$D$8:$D$42,ROW('03.Muestra'!$B$8:$B$42)-MIN(ROW('03.Muestra'!$D$8:$D$42))+1,""),ROW()-1576)),"")</f>
        <v>8</v>
      </c>
      <c r="B1577" s="85" t="str" cm="1">
        <f t="array" ref="B1577">IFERROR(INDEX('03.Muestra'!$C$8:$C$42,SMALL(IF("Documento no web"='03.Muestra'!$D$8:$D$42,ROW('03.Muestra'!$C$8:$C$42)-MIN(ROW('03.Muestra'!$D$8:$D$42))+1,""),ROW()-1576)),"")</f>
        <v>Inicio/Descargar boletin completo</v>
      </c>
      <c r="C1577" s="85" t="str" cm="1">
        <f t="array" ref="C1577">IFERROR(INDEX('03.Muestra'!$F$8:$F$42,SMALL(IF("Documento no web"='03.Muestra'!$D$8:$D$42,ROW('03.Muestra'!$F$8:$F$42)-MIN(ROW('03.Muestra'!$D$8:$D$42))+1,""),ROW()-1576)),"")</f>
        <v>https://www.bocm.es/boletin/CM_Boletin_BOCM/2024/01/10/00800.PDF</v>
      </c>
      <c r="D1577" s="99" t="s">
        <v>104</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1</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cm="1">
        <f t="array" ref="A1615">IFERROR(INDEX('03.Muestra'!$B$8:$B$42,SMALL(IF("Documento no web"='03.Muestra'!$D$8:$D$42,ROW('03.Muestra'!$B$8:$B$42)-MIN(ROW('03.Muestra'!$D$8:$D$42))+1,""),ROW()-1614)),"")</f>
        <v>8</v>
      </c>
      <c r="B1615" s="85" t="str" cm="1">
        <f t="array" ref="B1615">IFERROR(INDEX('03.Muestra'!$C$8:$C$42,SMALL(IF("Documento no web"='03.Muestra'!$D$8:$D$42,ROW('03.Muestra'!$C$8:$C$42)-MIN(ROW('03.Muestra'!$D$8:$D$42))+1,""),ROW()-1614)),"")</f>
        <v>Inicio/Descargar boletin completo</v>
      </c>
      <c r="C1615" s="85" t="str" cm="1">
        <f t="array" ref="C1615">IFERROR(INDEX('03.Muestra'!$F$8:$F$42,SMALL(IF("Documento no web"='03.Muestra'!$D$8:$D$42,ROW('03.Muestra'!$F$8:$F$42)-MIN(ROW('03.Muestra'!$D$8:$D$42))+1,""),ROW()-1614)),"")</f>
        <v>https://www.bocm.es/boletin/CM_Boletin_BOCM/2024/01/10/00800.PDF</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1</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cm="1">
        <f t="array" ref="A1653">IFERROR(INDEX('03.Muestra'!$B$8:$B$42,SMALL(IF("Documento no web"='03.Muestra'!$D$8:$D$42,ROW('03.Muestra'!$B$8:$B$42)-MIN(ROW('03.Muestra'!$D$8:$D$42))+1,""),ROW()-1652)),"")</f>
        <v>8</v>
      </c>
      <c r="B1653" s="85" t="str" cm="1">
        <f t="array" ref="B1653">IFERROR(INDEX('03.Muestra'!$C$8:$C$42,SMALL(IF("Documento no web"='03.Muestra'!$D$8:$D$42,ROW('03.Muestra'!$C$8:$C$42)-MIN(ROW('03.Muestra'!$D$8:$D$42))+1,""),ROW()-1652)),"")</f>
        <v>Inicio/Descargar boletin completo</v>
      </c>
      <c r="C1653" s="85" t="str" cm="1">
        <f t="array" ref="C1653">IFERROR(INDEX('03.Muestra'!$F$8:$F$42,SMALL(IF("Documento no web"='03.Muestra'!$D$8:$D$42,ROW('03.Muestra'!$F$8:$F$42)-MIN(ROW('03.Muestra'!$D$8:$D$42))+1,""),ROW()-1652)),"")</f>
        <v>https://www.bocm.es/boletin/CM_Boletin_BOCM/2024/01/10/00800.PDF</v>
      </c>
      <c r="D1653" s="99" t="s">
        <v>104</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1</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cm="1">
        <f t="array" ref="A1691">IFERROR(INDEX('03.Muestra'!$B$8:$B$42,SMALL(IF("Documento no web"='03.Muestra'!$D$8:$D$42,ROW('03.Muestra'!$B$8:$B$42)-MIN(ROW('03.Muestra'!$D$8:$D$42))+1,""),ROW()-1690)),"")</f>
        <v>8</v>
      </c>
      <c r="B1691" s="85" t="str" cm="1">
        <f t="array" ref="B1691">IFERROR(INDEX('03.Muestra'!$C$8:$C$42,SMALL(IF("Documento no web"='03.Muestra'!$D$8:$D$42,ROW('03.Muestra'!$C$8:$C$42)-MIN(ROW('03.Muestra'!$D$8:$D$42))+1,""),ROW()-1690)),"")</f>
        <v>Inicio/Descargar boletin completo</v>
      </c>
      <c r="C1691" s="85" t="str" cm="1">
        <f t="array" ref="C1691">IFERROR(INDEX('03.Muestra'!$F$8:$F$42,SMALL(IF("Documento no web"='03.Muestra'!$D$8:$D$42,ROW('03.Muestra'!$F$8:$F$42)-MIN(ROW('03.Muestra'!$D$8:$D$42))+1,""),ROW()-1690)),"")</f>
        <v>https://www.bocm.es/boletin/CM_Boletin_BOCM/2024/01/10/00800.PDF</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1</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A5E5BA69A52874988ED57D7DD80DF03" ma:contentTypeVersion="16" ma:contentTypeDescription="Crear nuevo documento." ma:contentTypeScope="" ma:versionID="f6a287a2a50b762eacb531e331de07b7">
  <xsd:schema xmlns:xsd="http://www.w3.org/2001/XMLSchema" xmlns:xs="http://www.w3.org/2001/XMLSchema" xmlns:p="http://schemas.microsoft.com/office/2006/metadata/properties" xmlns:ns2="92edc6ca-b25f-47c9-9a61-403f5d17014e" xmlns:ns3="f487b5fe-174c-4fb6-8557-624e264375c2" targetNamespace="http://schemas.microsoft.com/office/2006/metadata/properties" ma:root="true" ma:fieldsID="65ad34201cb1276f0d0c8bbcd18601a0" ns2:_="" ns3:_="">
    <xsd:import namespace="92edc6ca-b25f-47c9-9a61-403f5d17014e"/>
    <xsd:import namespace="f487b5fe-174c-4fb6-8557-624e264375c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edc6ca-b25f-47c9-9a61-403f5d170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6a6488a-54df-425c-be80-a6bf39aec34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87b5fe-174c-4fb6-8557-624e264375c2"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919f8f6b-b2b2-4b6b-9ecd-b48fb64ae249}" ma:internalName="TaxCatchAll" ma:showField="CatchAllData" ma:web="f487b5fe-174c-4fb6-8557-624e264375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487b5fe-174c-4fb6-8557-624e264375c2" xsi:nil="true"/>
    <lcf76f155ced4ddcb4097134ff3c332f xmlns="92edc6ca-b25f-47c9-9a61-403f5d17014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E46DCC1-FF52-45DD-854E-68BD67AA19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edc6ca-b25f-47c9-9a61-403f5d17014e"/>
    <ds:schemaRef ds:uri="f487b5fe-174c-4fb6-8557-624e264375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f487b5fe-174c-4fb6-8557-624e264375c2"/>
    <ds:schemaRef ds:uri="http://purl.org/dc/elements/1.1/"/>
    <ds:schemaRef ds:uri="92edc6ca-b25f-47c9-9a61-403f5d17014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Madrid Digital</cp:lastModifiedBy>
  <cp:revision>109</cp:revision>
  <dcterms:created xsi:type="dcterms:W3CDTF">2020-03-26T13:14:48Z</dcterms:created>
  <dcterms:modified xsi:type="dcterms:W3CDTF">2024-02-09T09:10:43Z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0x010100AA5E5BA69A52874988ED57D7DD80DF03</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2024-01-09T13:19:19Z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aa1cea45-257f-46ba-9ea8-230dc29aeeaf</vt:lpwstr>
  </property>
  <property fmtid="{D5CDD505-2E9C-101B-9397-08002B2CF9AE}" pid="16" name="MSIP_Label_ecb69475-382c-4c7a-b21d-8ca64eeef1bd_ContentBits">
    <vt:lpwstr>0</vt:lpwstr>
  </property>
</Properties>
</file>